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8760" activeTab="5"/>
  </bookViews>
  <sheets>
    <sheet name="BP 2017" sheetId="1" r:id="rId1"/>
    <sheet name="DRE 2017" sheetId="2" r:id="rId2"/>
    <sheet name="DRA 2017" sheetId="3" r:id="rId3"/>
    <sheet name="DMPL 2017" sheetId="4" r:id="rId4"/>
    <sheet name="DFC 2017" sheetId="6" r:id="rId5"/>
    <sheet name="DVA 2017" sheetId="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'BP 2017'!$A$1:$O$45</definedName>
    <definedName name="_xlnm.Print_Area" localSheetId="4">'DFC 2017'!$A$1:$D$66</definedName>
    <definedName name="_xlnm.Print_Area" localSheetId="3">'DMPL 2017'!$A$1:$L$14</definedName>
    <definedName name="_xlnm.Print_Area" localSheetId="1">'DRE 2017'!$A$1:$F$44</definedName>
    <definedName name="_xlnm.Print_Area" localSheetId="5">'DVA 2017'!#REF!</definedName>
  </definedNames>
  <calcPr calcId="145621"/>
</workbook>
</file>

<file path=xl/calcChain.xml><?xml version="1.0" encoding="utf-8"?>
<calcChain xmlns="http://schemas.openxmlformats.org/spreadsheetml/2006/main">
  <c r="D57" i="6" l="1"/>
  <c r="B57" i="6"/>
  <c r="B37" i="6"/>
  <c r="D61" i="6"/>
  <c r="B61" i="6"/>
  <c r="D60" i="6"/>
  <c r="D63" i="6" s="1"/>
  <c r="B60" i="6"/>
  <c r="B63" i="6" s="1"/>
  <c r="B55" i="6"/>
  <c r="D52" i="6"/>
  <c r="D55" i="6" s="1"/>
  <c r="B42" i="6"/>
  <c r="B39" i="6"/>
  <c r="D37" i="6"/>
  <c r="A37" i="6"/>
  <c r="D35" i="6"/>
  <c r="B35" i="6"/>
  <c r="D34" i="6"/>
  <c r="D40" i="6" s="1"/>
  <c r="B34" i="6"/>
  <c r="B40" i="6" s="1"/>
  <c r="B27" i="6"/>
  <c r="J26" i="6"/>
  <c r="D26" i="6"/>
  <c r="J25" i="6"/>
  <c r="D25" i="6"/>
  <c r="D31" i="6" s="1"/>
  <c r="I20" i="6"/>
  <c r="D20" i="6"/>
  <c r="B20" i="6"/>
  <c r="B22" i="6" s="1"/>
  <c r="I19" i="6"/>
  <c r="I18" i="6"/>
  <c r="D18" i="6"/>
  <c r="I17" i="6"/>
  <c r="D17" i="6"/>
  <c r="D16" i="6"/>
  <c r="D14" i="6"/>
  <c r="D22" i="6" s="1"/>
  <c r="B31" i="6" l="1"/>
  <c r="D12" i="3"/>
  <c r="D17" i="3" s="1"/>
  <c r="B12" i="3"/>
  <c r="B17" i="3" s="1"/>
  <c r="F38" i="2"/>
  <c r="F37" i="2"/>
  <c r="F36" i="2"/>
  <c r="D31" i="2"/>
  <c r="F29" i="2"/>
  <c r="F31" i="2" s="1"/>
  <c r="F21" i="2"/>
  <c r="D21" i="2"/>
  <c r="F20" i="2"/>
  <c r="D20" i="2"/>
  <c r="F19" i="2"/>
  <c r="F23" i="2" s="1"/>
  <c r="D19" i="2"/>
  <c r="D23" i="2" s="1"/>
  <c r="F16" i="2"/>
  <c r="D14" i="2"/>
  <c r="D16" i="2" s="1"/>
  <c r="D25" i="2" s="1"/>
  <c r="D34" i="2" s="1"/>
  <c r="D40" i="2" s="1"/>
  <c r="F25" i="2" l="1"/>
  <c r="F34" i="2"/>
  <c r="F40" i="2" s="1"/>
  <c r="F38" i="1" l="1"/>
  <c r="D38" i="1"/>
  <c r="N31" i="1"/>
  <c r="N35" i="1" s="1"/>
  <c r="L31" i="1"/>
  <c r="L35" i="1" s="1"/>
  <c r="F30" i="1"/>
  <c r="D30" i="1"/>
  <c r="L28" i="1"/>
  <c r="D28" i="1"/>
  <c r="D27" i="1"/>
  <c r="N26" i="1"/>
  <c r="N28" i="1" s="1"/>
  <c r="F26" i="1"/>
  <c r="F32" i="1" s="1"/>
  <c r="F40" i="1" s="1"/>
  <c r="D25" i="1"/>
  <c r="D24" i="1"/>
  <c r="N21" i="1"/>
  <c r="L21" i="1"/>
  <c r="L19" i="1"/>
  <c r="L18" i="1"/>
  <c r="F18" i="1"/>
  <c r="D18" i="1"/>
  <c r="N17" i="1"/>
  <c r="L17" i="1"/>
  <c r="F17" i="1"/>
  <c r="N16" i="1"/>
  <c r="L16" i="1"/>
  <c r="F16" i="1"/>
  <c r="D16" i="1"/>
  <c r="N15" i="1"/>
  <c r="L15" i="1"/>
  <c r="F15" i="1"/>
  <c r="D15" i="1"/>
  <c r="N14" i="1"/>
  <c r="F14" i="1"/>
  <c r="D14" i="1"/>
  <c r="N13" i="1"/>
  <c r="L13" i="1"/>
  <c r="F13" i="1"/>
  <c r="D13" i="1"/>
  <c r="N12" i="1"/>
  <c r="L12" i="1"/>
  <c r="F12" i="1"/>
  <c r="D12" i="1"/>
  <c r="N11" i="1"/>
  <c r="N23" i="1" s="1"/>
  <c r="N37" i="1" s="1"/>
  <c r="F11" i="1"/>
  <c r="D11" i="1"/>
  <c r="D21" i="1" s="1"/>
  <c r="N8" i="1"/>
  <c r="L8" i="1"/>
  <c r="L23" i="1" l="1"/>
  <c r="D32" i="1"/>
  <c r="D40" i="1" s="1"/>
  <c r="L37" i="1"/>
</calcChain>
</file>

<file path=xl/sharedStrings.xml><?xml version="1.0" encoding="utf-8"?>
<sst xmlns="http://schemas.openxmlformats.org/spreadsheetml/2006/main" count="257" uniqueCount="154">
  <si>
    <t>DME Distribuição S.A.</t>
  </si>
  <si>
    <t>(Em milhares de Reais)</t>
  </si>
  <si>
    <t>Ativo</t>
  </si>
  <si>
    <t>Nota</t>
  </si>
  <si>
    <t>Passivo e patrimônio líquido</t>
  </si>
  <si>
    <t>Circulante</t>
  </si>
  <si>
    <t>Caixa e equivalentes de caixa</t>
  </si>
  <si>
    <t xml:space="preserve">Fornecedores </t>
  </si>
  <si>
    <t xml:space="preserve">Consumidores, concessionárias e permissionárias </t>
  </si>
  <si>
    <t>Folha de pagamento</t>
  </si>
  <si>
    <t>Tributos e contribuições sociais compensáveis</t>
  </si>
  <si>
    <t xml:space="preserve">Credores diversos </t>
  </si>
  <si>
    <t xml:space="preserve">Serviços em curso </t>
  </si>
  <si>
    <t>Passivos Financeiros Setoriais</t>
  </si>
  <si>
    <t>Estoque</t>
  </si>
  <si>
    <t>Encargos Regulatórios</t>
  </si>
  <si>
    <t xml:space="preserve">Despesas pagas antecipadamente </t>
  </si>
  <si>
    <t xml:space="preserve">Pesquisa e desenvolvimento </t>
  </si>
  <si>
    <t>Ativos Financeiros Setoriais</t>
  </si>
  <si>
    <t>Programa de eficiência energética</t>
  </si>
  <si>
    <t>Subsídios Tarifários e Redução Tarifária Equilibrada</t>
  </si>
  <si>
    <t xml:space="preserve">Tributos e contribuições sociais </t>
  </si>
  <si>
    <t>Outros créditos</t>
  </si>
  <si>
    <t xml:space="preserve">Obrigações estimadas </t>
  </si>
  <si>
    <t>Provisões para Litigios</t>
  </si>
  <si>
    <t>-</t>
  </si>
  <si>
    <t>Total do circulante</t>
  </si>
  <si>
    <t>Outros passivos circulantes</t>
  </si>
  <si>
    <t>Não circulante</t>
  </si>
  <si>
    <t>Títulos de crédito a receber</t>
  </si>
  <si>
    <t xml:space="preserve">Indenização Complementar - MP 579/12 </t>
  </si>
  <si>
    <t>Ativo financeiro indenizável (concessão)</t>
  </si>
  <si>
    <t>Provisões para contingências</t>
  </si>
  <si>
    <t>Cauções e depósitos vinculados</t>
  </si>
  <si>
    <t>Tributos a compensar</t>
  </si>
  <si>
    <t>Total do não circulante</t>
  </si>
  <si>
    <t>Tributos Diferidos</t>
  </si>
  <si>
    <t>Superávit - Plano de Benefício Definido</t>
  </si>
  <si>
    <t xml:space="preserve">Patrimônio líquido </t>
  </si>
  <si>
    <t>Capital social</t>
  </si>
  <si>
    <t>Reserva legal</t>
  </si>
  <si>
    <t>Reserva de lucros</t>
  </si>
  <si>
    <t xml:space="preserve">Imobilizado </t>
  </si>
  <si>
    <t>Total do patrimônio líquido</t>
  </si>
  <si>
    <t xml:space="preserve">Intangível </t>
  </si>
  <si>
    <t>Passivo e patrimônio líquido total</t>
  </si>
  <si>
    <t>Ativo total</t>
  </si>
  <si>
    <t>As notas explicativas são parte integrante das demonstrações financeiras.</t>
  </si>
  <si>
    <t>Balanços patrimoniais em 31 de dezembro de 2017 e 2016</t>
  </si>
  <si>
    <t>Demonstrações de resultados</t>
  </si>
  <si>
    <t>Exercícios findos em 31 de dezembro de 2017 e 2016</t>
  </si>
  <si>
    <t>Receita operacional líquida</t>
  </si>
  <si>
    <t xml:space="preserve">Custo do serviço </t>
  </si>
  <si>
    <t>Lucro bruto</t>
  </si>
  <si>
    <t>Despesas operacionais:</t>
  </si>
  <si>
    <t xml:space="preserve">    Despesas com vendas</t>
  </si>
  <si>
    <t xml:space="preserve">    Despesas gerais e administrativas</t>
  </si>
  <si>
    <t xml:space="preserve">    Outras despesas operacionais</t>
  </si>
  <si>
    <t>Resultado operacional</t>
  </si>
  <si>
    <t>Receitas financeiras, líquidas</t>
  </si>
  <si>
    <t>Receitas financeiras</t>
  </si>
  <si>
    <t>Despesas financeiras</t>
  </si>
  <si>
    <t xml:space="preserve"> </t>
  </si>
  <si>
    <t>Lucro (prejuízo) antes do imposto de renda e da contribuição social</t>
  </si>
  <si>
    <t>Contribuição social corrente</t>
  </si>
  <si>
    <t>Imposto de renda corrente</t>
  </si>
  <si>
    <t>Impostos  Diferidos</t>
  </si>
  <si>
    <t>Lucro líquido (prejuízo) do exercício</t>
  </si>
  <si>
    <t>Demonstrações de resultados abrangentes</t>
  </si>
  <si>
    <t>Lucro Líquido do Exercício</t>
  </si>
  <si>
    <t>Resultados abrangentes</t>
  </si>
  <si>
    <t>(Perdas) Ganhos atuariais de plano de benefícios definido</t>
  </si>
  <si>
    <t>Resultado abrangente do exercicio</t>
  </si>
  <si>
    <t>Demonstrações das mutações do patrimônio líquido</t>
  </si>
  <si>
    <t>Reserva de Lucros</t>
  </si>
  <si>
    <t>Retenção de Lucros</t>
  </si>
  <si>
    <t>Reserva Legal</t>
  </si>
  <si>
    <t>Dividendos Complementares</t>
  </si>
  <si>
    <t>Lucros Acumulados</t>
  </si>
  <si>
    <t>Total</t>
  </si>
  <si>
    <t xml:space="preserve">Saldo em 31 de dezembro de 2015 </t>
  </si>
  <si>
    <t>Lucro Líquido:</t>
  </si>
  <si>
    <t>Aumento de Capital Social</t>
  </si>
  <si>
    <t>Juros Sobre Capital Próprio</t>
  </si>
  <si>
    <t>Outros Resultados Abrangentes</t>
  </si>
  <si>
    <t>Constituição de reserva legal</t>
  </si>
  <si>
    <t>Transferência para reserva de lucros</t>
  </si>
  <si>
    <t>Outros</t>
  </si>
  <si>
    <t>Saldo em 31 de dezembro de 2016</t>
  </si>
  <si>
    <t>check com o balanço</t>
  </si>
  <si>
    <t>Saldo em 31 de dezembro de 2017</t>
  </si>
  <si>
    <t>Demonstrações do valor adicionado</t>
  </si>
  <si>
    <t>Receitas</t>
  </si>
  <si>
    <t>Venda de energia e serviços</t>
  </si>
  <si>
    <t>Provisão para créditos de liquidação duvidosa</t>
  </si>
  <si>
    <t>Outros resultados</t>
  </si>
  <si>
    <t/>
  </si>
  <si>
    <t>(-) Insumos adquiridos de terceiros</t>
  </si>
  <si>
    <t>Insumos consumidos - Custos energia comprada</t>
  </si>
  <si>
    <t>Material e serviços de terceiros</t>
  </si>
  <si>
    <t>Valor adicionado bruto</t>
  </si>
  <si>
    <t>(=) Valor adicionado líquido</t>
  </si>
  <si>
    <t>(+) Valor adicionado transferido</t>
  </si>
  <si>
    <t>Valor adicionado total a distribuir</t>
  </si>
  <si>
    <t>Distribuição do valor adicionado</t>
  </si>
  <si>
    <t>Pessoal</t>
  </si>
  <si>
    <t>Remunerações</t>
  </si>
  <si>
    <t>Encargos sociais (exceto inss)</t>
  </si>
  <si>
    <t>Entidade de previdência privada</t>
  </si>
  <si>
    <t>Auxílio-alimentação</t>
  </si>
  <si>
    <t>Provisões de férias e 13º</t>
  </si>
  <si>
    <t>Convênio assistencial e outros benefícios</t>
  </si>
  <si>
    <t>Participação nos resultados</t>
  </si>
  <si>
    <t>Programa de Demissão Voluntária - PIDV</t>
  </si>
  <si>
    <t>Custos imobilizados</t>
  </si>
  <si>
    <t>Provisão (Reversão) trabalhista</t>
  </si>
  <si>
    <t>Governo</t>
  </si>
  <si>
    <t>INSS (sobre folha de pagamento)</t>
  </si>
  <si>
    <t>ICMS</t>
  </si>
  <si>
    <t>Provisão (Reversão) fiscal</t>
  </si>
  <si>
    <t>Provisão (reversão)indenizatória</t>
  </si>
  <si>
    <t>Acionistas</t>
  </si>
  <si>
    <t>Resultados retidos</t>
  </si>
  <si>
    <t>Demonstrações dos fluxos de caixa</t>
  </si>
  <si>
    <t>Fluxo de caixa das atividades operacionais</t>
  </si>
  <si>
    <t>Depreciação e amortização</t>
  </si>
  <si>
    <t>Valor residual de imobilizado e itangível baixado</t>
  </si>
  <si>
    <t>Redução (aumento) nos ativos:</t>
  </si>
  <si>
    <t>Consumidores e revendedores</t>
  </si>
  <si>
    <t>Ativo Financeiro Indenizável (Concessão)</t>
  </si>
  <si>
    <t>Ativos (Passivos) Financeiros Setoriais</t>
  </si>
  <si>
    <t>Superávit - Plano de Beneficio Definido</t>
  </si>
  <si>
    <t>Demais ativos circulantes e não circulantes</t>
  </si>
  <si>
    <t>Aumento (redução) nos passivos:</t>
  </si>
  <si>
    <t>Fornecedores</t>
  </si>
  <si>
    <t>Folha de pagamento e provisões trabalhistas</t>
  </si>
  <si>
    <t>Tributos e contribuições sociais</t>
  </si>
  <si>
    <t>Demais passivos circulantes e não circulantes</t>
  </si>
  <si>
    <t>Imposto de Renda e contribuições sociais Pagos</t>
  </si>
  <si>
    <t>Recursos líquidos provenientes das atividades operacionais</t>
  </si>
  <si>
    <t>Fluxos de caixa das atividades de investimentos</t>
  </si>
  <si>
    <t>Adições no imobilizado e intangível</t>
  </si>
  <si>
    <t>Recursos líquidos utilizados nas atividades de investimento</t>
  </si>
  <si>
    <t>Fluxos de caixa das atividades de financiamentos</t>
  </si>
  <si>
    <t>Pagamento de Dividendos</t>
  </si>
  <si>
    <t>Pagamento de Juros Sobre Capital Próprio</t>
  </si>
  <si>
    <t>Recursos líquidos (utilizados nas) provenientes das atividades de financiamento</t>
  </si>
  <si>
    <t>Total dos efeitos no caixa e equivalentes de caixa</t>
  </si>
  <si>
    <t>No fim do exercício</t>
  </si>
  <si>
    <t>No início do exercício</t>
  </si>
  <si>
    <t>Aumento (redução) do caixa e equivalentes de caixa</t>
  </si>
  <si>
    <t>Lucro líquido do exercício</t>
  </si>
  <si>
    <t>Constituição (reversão) de provisões para contingencias, líquidas</t>
  </si>
  <si>
    <t>Pagamento de Contingências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</si>
</sst>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8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i/>
      <sz val="11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6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8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14" fontId="6" fillId="0" borderId="0" xfId="1" applyNumberFormat="1" applyFont="1" applyFill="1" applyBorder="1" applyAlignment="1">
      <alignment horizontal="right" wrapText="1"/>
    </xf>
    <xf numFmtId="0" fontId="2" fillId="0" borderId="0" xfId="0" applyFont="1"/>
    <xf numFmtId="0" fontId="8" fillId="0" borderId="0" xfId="0" applyFont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2" fillId="0" borderId="0" xfId="0" applyFont="1" applyFill="1" applyAlignment="1">
      <alignment wrapText="1"/>
    </xf>
    <xf numFmtId="3" fontId="2" fillId="0" borderId="0" xfId="0" applyNumberFormat="1" applyFont="1" applyAlignment="1">
      <alignment wrapText="1"/>
    </xf>
    <xf numFmtId="3" fontId="2" fillId="0" borderId="0" xfId="0" applyNumberFormat="1" applyFont="1" applyFill="1"/>
    <xf numFmtId="3" fontId="2" fillId="0" borderId="0" xfId="0" applyNumberFormat="1" applyFont="1"/>
    <xf numFmtId="3" fontId="2" fillId="0" borderId="0" xfId="0" applyNumberFormat="1" applyFont="1" applyAlignment="1">
      <alignment horizontal="right" wrapText="1"/>
    </xf>
    <xf numFmtId="0" fontId="2" fillId="0" borderId="0" xfId="0" applyFont="1" applyFill="1" applyAlignment="1">
      <alignment horizontal="right" wrapText="1"/>
    </xf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wrapText="1"/>
    </xf>
    <xf numFmtId="0" fontId="10" fillId="0" borderId="0" xfId="0" applyFont="1"/>
    <xf numFmtId="3" fontId="2" fillId="0" borderId="1" xfId="0" applyNumberFormat="1" applyFont="1" applyFill="1" applyBorder="1" applyAlignment="1">
      <alignment wrapText="1"/>
    </xf>
    <xf numFmtId="3" fontId="2" fillId="0" borderId="1" xfId="0" applyNumberFormat="1" applyFont="1" applyFill="1" applyBorder="1"/>
    <xf numFmtId="0" fontId="2" fillId="0" borderId="0" xfId="0" applyFont="1" applyFill="1" applyBorder="1" applyAlignment="1">
      <alignment horizontal="left" wrapText="1" indent="2"/>
    </xf>
    <xf numFmtId="0" fontId="2" fillId="0" borderId="0" xfId="0" applyFont="1" applyFill="1" applyBorder="1" applyAlignment="1">
      <alignment horizontal="right" wrapText="1" indent="2"/>
    </xf>
    <xf numFmtId="3" fontId="2" fillId="0" borderId="0" xfId="0" applyNumberFormat="1" applyFont="1" applyFill="1" applyBorder="1" applyAlignment="1">
      <alignment horizontal="left" wrapText="1" indent="2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right" wrapText="1"/>
    </xf>
    <xf numFmtId="3" fontId="2" fillId="0" borderId="0" xfId="0" applyNumberFormat="1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wrapText="1"/>
    </xf>
    <xf numFmtId="3" fontId="8" fillId="0" borderId="0" xfId="0" applyNumberFormat="1" applyFont="1" applyFill="1" applyBorder="1" applyAlignment="1">
      <alignment wrapText="1"/>
    </xf>
    <xf numFmtId="3" fontId="2" fillId="0" borderId="0" xfId="0" applyNumberFormat="1" applyFont="1" applyBorder="1"/>
    <xf numFmtId="3" fontId="8" fillId="0" borderId="0" xfId="0" applyNumberFormat="1" applyFont="1" applyAlignment="1">
      <alignment horizontal="right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left" wrapText="1" indent="2"/>
    </xf>
    <xf numFmtId="0" fontId="2" fillId="0" borderId="0" xfId="0" applyFont="1" applyAlignment="1">
      <alignment horizontal="right" wrapText="1" indent="2"/>
    </xf>
    <xf numFmtId="3" fontId="2" fillId="0" borderId="0" xfId="0" applyNumberFormat="1" applyFont="1" applyAlignment="1">
      <alignment horizontal="right" wrapText="1" indent="2"/>
    </xf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3" fontId="2" fillId="0" borderId="2" xfId="0" applyNumberFormat="1" applyFont="1" applyBorder="1"/>
    <xf numFmtId="3" fontId="2" fillId="0" borderId="2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left" wrapText="1" indent="2"/>
    </xf>
    <xf numFmtId="0" fontId="2" fillId="0" borderId="0" xfId="0" applyFont="1" applyBorder="1" applyAlignment="1">
      <alignment horizontal="right" wrapText="1" indent="2"/>
    </xf>
    <xf numFmtId="164" fontId="2" fillId="0" borderId="0" xfId="0" applyNumberFormat="1" applyFont="1" applyAlignment="1">
      <alignment horizontal="left" wrapText="1" indent="2"/>
    </xf>
    <xf numFmtId="3" fontId="2" fillId="0" borderId="0" xfId="0" applyNumberFormat="1" applyFont="1" applyAlignment="1">
      <alignment horizontal="left" wrapText="1" indent="2"/>
    </xf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4" fontId="6" fillId="0" borderId="0" xfId="1" applyNumberFormat="1" applyFont="1" applyFill="1" applyBorder="1" applyAlignment="1">
      <alignment horizontal="right"/>
    </xf>
    <xf numFmtId="3" fontId="10" fillId="0" borderId="0" xfId="0" applyNumberFormat="1" applyFont="1"/>
    <xf numFmtId="3" fontId="10" fillId="0" borderId="1" xfId="0" applyNumberFormat="1" applyFont="1" applyBorder="1"/>
    <xf numFmtId="0" fontId="15" fillId="0" borderId="0" xfId="0" applyFont="1"/>
    <xf numFmtId="3" fontId="8" fillId="0" borderId="0" xfId="0" applyNumberFormat="1" applyFont="1" applyAlignment="1">
      <alignment wrapText="1"/>
    </xf>
    <xf numFmtId="3" fontId="10" fillId="0" borderId="2" xfId="0" applyNumberFormat="1" applyFont="1" applyBorder="1"/>
    <xf numFmtId="3" fontId="10" fillId="0" borderId="0" xfId="0" applyNumberFormat="1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3" fillId="0" borderId="0" xfId="4" applyNumberFormat="1" applyFont="1" applyFill="1" applyBorder="1" applyAlignment="1"/>
    <xf numFmtId="0" fontId="16" fillId="0" borderId="0" xfId="4" applyNumberFormat="1" applyFont="1" applyFill="1" applyBorder="1" applyAlignment="1"/>
    <xf numFmtId="0" fontId="13" fillId="0" borderId="0" xfId="4" applyNumberFormat="1" applyFont="1" applyFill="1" applyBorder="1" applyAlignment="1"/>
    <xf numFmtId="0" fontId="4" fillId="0" borderId="0" xfId="4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3" fontId="9" fillId="0" borderId="1" xfId="0" applyNumberFormat="1" applyFont="1" applyFill="1" applyBorder="1" applyAlignment="1"/>
    <xf numFmtId="164" fontId="9" fillId="0" borderId="0" xfId="0" applyNumberFormat="1" applyFont="1" applyFill="1" applyBorder="1"/>
    <xf numFmtId="3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right"/>
    </xf>
    <xf numFmtId="3" fontId="6" fillId="0" borderId="2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19" fillId="0" borderId="0" xfId="0" applyFont="1" applyAlignment="1"/>
    <xf numFmtId="0" fontId="2" fillId="0" borderId="0" xfId="0" applyFont="1" applyFill="1" applyAlignment="1"/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Alignment="1"/>
    <xf numFmtId="0" fontId="6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8" fillId="0" borderId="0" xfId="0" applyFont="1" applyAlignment="1"/>
    <xf numFmtId="3" fontId="8" fillId="0" borderId="0" xfId="0" applyNumberFormat="1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15" fillId="0" borderId="0" xfId="0" applyFont="1" applyFill="1" applyAlignment="1"/>
    <xf numFmtId="3" fontId="15" fillId="0" borderId="0" xfId="0" applyNumberFormat="1" applyFont="1" applyFill="1" applyAlignment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164" fontId="2" fillId="0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/>
    <xf numFmtId="3" fontId="8" fillId="0" borderId="3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15" fillId="0" borderId="0" xfId="0" applyNumberFormat="1" applyFont="1" applyAlignment="1"/>
    <xf numFmtId="3" fontId="2" fillId="0" borderId="3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19" fillId="0" borderId="0" xfId="0" applyFont="1" applyFill="1" applyBorder="1" applyAlignment="1"/>
    <xf numFmtId="0" fontId="2" fillId="0" borderId="0" xfId="0" applyFont="1" applyFill="1" applyBorder="1" applyAlignment="1"/>
    <xf numFmtId="0" fontId="21" fillId="0" borderId="0" xfId="0" applyFont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Alignment="1"/>
    <xf numFmtId="0" fontId="8" fillId="0" borderId="0" xfId="0" applyFont="1" applyFill="1" applyAlignment="1"/>
    <xf numFmtId="3" fontId="10" fillId="0" borderId="0" xfId="0" applyNumberFormat="1" applyFont="1" applyFill="1"/>
    <xf numFmtId="3" fontId="2" fillId="0" borderId="1" xfId="0" applyNumberFormat="1" applyFont="1" applyFill="1" applyBorder="1" applyAlignment="1"/>
    <xf numFmtId="3" fontId="10" fillId="0" borderId="1" xfId="0" applyNumberFormat="1" applyFont="1" applyFill="1" applyBorder="1"/>
    <xf numFmtId="4" fontId="2" fillId="0" borderId="0" xfId="0" applyNumberFormat="1" applyFont="1" applyFill="1" applyAlignment="1"/>
    <xf numFmtId="3" fontId="8" fillId="0" borderId="2" xfId="0" applyNumberFormat="1" applyFont="1" applyFill="1" applyBorder="1" applyAlignment="1"/>
    <xf numFmtId="3" fontId="26" fillId="0" borderId="2" xfId="0" applyNumberFormat="1" applyFont="1" applyBorder="1"/>
    <xf numFmtId="164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 applyBorder="1"/>
    <xf numFmtId="3" fontId="8" fillId="0" borderId="0" xfId="0" applyNumberFormat="1" applyFont="1" applyFill="1" applyAlignment="1"/>
    <xf numFmtId="0" fontId="2" fillId="0" borderId="0" xfId="0" applyFont="1" applyAlignment="1">
      <alignment horizontal="right" vertical="top" wrapText="1"/>
    </xf>
    <xf numFmtId="0" fontId="8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37" fontId="2" fillId="0" borderId="0" xfId="0" applyNumberFormat="1" applyFont="1"/>
    <xf numFmtId="166" fontId="2" fillId="0" borderId="0" xfId="0" applyNumberFormat="1" applyFont="1"/>
    <xf numFmtId="37" fontId="6" fillId="2" borderId="0" xfId="3" applyNumberFormat="1" applyFont="1" applyFill="1"/>
    <xf numFmtId="3" fontId="6" fillId="2" borderId="0" xfId="3" applyNumberFormat="1" applyFont="1" applyFill="1" applyAlignment="1"/>
    <xf numFmtId="37" fontId="9" fillId="2" borderId="0" xfId="3" applyNumberFormat="1" applyFont="1" applyFill="1"/>
    <xf numFmtId="3" fontId="9" fillId="2" borderId="1" xfId="3" applyNumberFormat="1" applyFont="1" applyFill="1" applyBorder="1" applyAlignment="1"/>
    <xf numFmtId="3" fontId="8" fillId="2" borderId="0" xfId="0" applyNumberFormat="1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3" fontId="2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0" fontId="2" fillId="0" borderId="0" xfId="0" applyFont="1" applyAlignment="1">
      <alignment horizontal="left" wrapText="1" indent="1"/>
    </xf>
    <xf numFmtId="3" fontId="2" fillId="0" borderId="0" xfId="0" applyNumberFormat="1" applyFont="1" applyAlignment="1"/>
    <xf numFmtId="3" fontId="2" fillId="0" borderId="1" xfId="0" applyNumberFormat="1" applyFont="1" applyBorder="1" applyAlignment="1"/>
    <xf numFmtId="3" fontId="2" fillId="0" borderId="2" xfId="0" applyNumberFormat="1" applyFont="1" applyBorder="1" applyAlignment="1"/>
    <xf numFmtId="0" fontId="9" fillId="0" borderId="0" xfId="0" applyFont="1" applyAlignment="1">
      <alignment wrapText="1"/>
    </xf>
    <xf numFmtId="0" fontId="9" fillId="0" borderId="0" xfId="0" applyFont="1"/>
    <xf numFmtId="3" fontId="9" fillId="0" borderId="0" xfId="0" applyNumberFormat="1" applyFont="1"/>
    <xf numFmtId="3" fontId="2" fillId="3" borderId="0" xfId="0" applyNumberFormat="1" applyFont="1" applyFill="1"/>
    <xf numFmtId="3" fontId="2" fillId="3" borderId="0" xfId="0" applyNumberFormat="1" applyFont="1" applyFill="1" applyAlignment="1">
      <alignment vertical="top" wrapText="1"/>
    </xf>
  </cellXfs>
  <cellStyles count="5">
    <cellStyle name="Comma 4" xfId="2"/>
    <cellStyle name="Normal" xfId="0" builtinId="0"/>
    <cellStyle name="Normal 2" xfId="1"/>
    <cellStyle name="Normal 4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versos/QUADROS%20BALAN&#199;O%20DE%202017%20V3%20DM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iversos/Memoria%20de%20C&#225;lculo%20-%20DF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iversos/MEMORIA%20DE%20C&#193;LCULO%20FLUXO%20DE%20CAIX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iversos/Raz&#227;o%20IRPJ%20e%20CSLL%20pago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Resultado"/>
      <sheetName val="DMPL"/>
      <sheetName val="DVA"/>
      <sheetName val="DRA"/>
      <sheetName val="DFC"/>
      <sheetName val="BALANCETE DEZ-2017"/>
      <sheetName val="CUSTO DRE 2017"/>
      <sheetName val="CONTA 6 - 2017"/>
      <sheetName val="BALANCETE DEZ-2016"/>
      <sheetName val="DESPESAS 2016"/>
    </sheetNames>
    <sheetDataSet>
      <sheetData sheetId="0"/>
      <sheetData sheetId="1">
        <row r="40">
          <cell r="D40">
            <v>6397.6576799999966</v>
          </cell>
          <cell r="F40">
            <v>2041.3186699999997</v>
          </cell>
        </row>
      </sheetData>
      <sheetData sheetId="2"/>
      <sheetData sheetId="3"/>
      <sheetData sheetId="4"/>
      <sheetData sheetId="5"/>
      <sheetData sheetId="6">
        <row r="4">
          <cell r="G4">
            <v>71386418.700000003</v>
          </cell>
        </row>
        <row r="114">
          <cell r="G114">
            <v>25077654.969999999</v>
          </cell>
        </row>
        <row r="198">
          <cell r="G198">
            <v>7233428.1100000003</v>
          </cell>
        </row>
        <row r="207">
          <cell r="G207">
            <v>1299024.27</v>
          </cell>
        </row>
        <row r="213">
          <cell r="G213">
            <v>1719237.03</v>
          </cell>
        </row>
        <row r="229">
          <cell r="G229">
            <v>1546622.07</v>
          </cell>
        </row>
        <row r="274">
          <cell r="G274">
            <v>310404.33</v>
          </cell>
        </row>
        <row r="416">
          <cell r="G416">
            <v>2734372.95</v>
          </cell>
        </row>
        <row r="437">
          <cell r="G437">
            <v>1231132.95</v>
          </cell>
        </row>
        <row r="447">
          <cell r="G447">
            <v>8762909.2200000007</v>
          </cell>
        </row>
        <row r="465">
          <cell r="G465">
            <v>401793.61</v>
          </cell>
        </row>
        <row r="467">
          <cell r="G467">
            <v>10223984.27</v>
          </cell>
        </row>
        <row r="473">
          <cell r="G473">
            <v>6622264</v>
          </cell>
        </row>
        <row r="944">
          <cell r="G944">
            <v>-686.61</v>
          </cell>
        </row>
        <row r="964">
          <cell r="G964">
            <v>-1382440.17</v>
          </cell>
        </row>
        <row r="965">
          <cell r="G965">
            <v>-460813.38</v>
          </cell>
        </row>
        <row r="966">
          <cell r="G966">
            <v>-523950.28</v>
          </cell>
        </row>
        <row r="967">
          <cell r="G967">
            <v>-147289.43</v>
          </cell>
        </row>
        <row r="968">
          <cell r="G968">
            <v>-404852.31</v>
          </cell>
        </row>
        <row r="971">
          <cell r="G971">
            <v>-43.16</v>
          </cell>
        </row>
        <row r="976">
          <cell r="G976">
            <v>-2079.5700000000002</v>
          </cell>
        </row>
        <row r="979">
          <cell r="G979">
            <v>-6996163.9800000004</v>
          </cell>
        </row>
        <row r="1022">
          <cell r="G1022">
            <v>-2272042.5299999998</v>
          </cell>
        </row>
        <row r="1029">
          <cell r="G1029">
            <v>-2612575.71</v>
          </cell>
        </row>
        <row r="1032">
          <cell r="G1032">
            <v>-1898380.77</v>
          </cell>
        </row>
        <row r="1034">
          <cell r="G1034">
            <v>-25815.93</v>
          </cell>
        </row>
        <row r="1037">
          <cell r="G1037">
            <v>-120088.96000000001</v>
          </cell>
        </row>
        <row r="1040">
          <cell r="G1040">
            <v>-1067223.83</v>
          </cell>
        </row>
        <row r="1093">
          <cell r="G1093">
            <v>-4834314.41</v>
          </cell>
        </row>
        <row r="1200">
          <cell r="G1200">
            <v>-222949828.33000001</v>
          </cell>
        </row>
      </sheetData>
      <sheetData sheetId="7">
        <row r="22">
          <cell r="J22">
            <v>102920866.02</v>
          </cell>
        </row>
        <row r="38">
          <cell r="J38">
            <v>30029890.859999999</v>
          </cell>
        </row>
        <row r="47">
          <cell r="J47">
            <v>4240935.6500000004</v>
          </cell>
        </row>
      </sheetData>
      <sheetData sheetId="8">
        <row r="1439">
          <cell r="G1439">
            <v>919649.79</v>
          </cell>
        </row>
      </sheetData>
      <sheetData sheetId="9">
        <row r="4">
          <cell r="G4">
            <v>73020044.359999999</v>
          </cell>
        </row>
        <row r="94">
          <cell r="G94">
            <v>29036675.829999998</v>
          </cell>
        </row>
        <row r="181">
          <cell r="G181">
            <v>4283509.6500000004</v>
          </cell>
        </row>
        <row r="190">
          <cell r="G190">
            <v>2440095.98</v>
          </cell>
        </row>
        <row r="197">
          <cell r="G197">
            <v>1708927.9</v>
          </cell>
        </row>
        <row r="223">
          <cell r="G223">
            <v>1573607.27</v>
          </cell>
        </row>
        <row r="236">
          <cell r="G236">
            <v>6315366.3799999999</v>
          </cell>
        </row>
        <row r="266">
          <cell r="G266">
            <v>291508.46999999997</v>
          </cell>
        </row>
        <row r="405">
          <cell r="G405">
            <v>2886604.14</v>
          </cell>
        </row>
        <row r="450">
          <cell r="G450">
            <v>2696759.14</v>
          </cell>
        </row>
        <row r="453">
          <cell r="G453">
            <v>4231349</v>
          </cell>
        </row>
        <row r="666">
          <cell r="G666">
            <v>-6819016.0800000001</v>
          </cell>
        </row>
        <row r="952">
          <cell r="G952">
            <v>-686.61</v>
          </cell>
        </row>
        <row r="960">
          <cell r="G960">
            <v>0</v>
          </cell>
        </row>
        <row r="962">
          <cell r="G962">
            <v>0</v>
          </cell>
        </row>
        <row r="963">
          <cell r="G963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6">
          <cell r="G976">
            <v>-435213.52</v>
          </cell>
        </row>
        <row r="979">
          <cell r="G979">
            <v>-13.61</v>
          </cell>
        </row>
        <row r="985">
          <cell r="G985">
            <v>-46.78</v>
          </cell>
        </row>
        <row r="1026">
          <cell r="G1026">
            <v>-2680903.3199999998</v>
          </cell>
        </row>
        <row r="1033">
          <cell r="G1033">
            <v>-3395920.06</v>
          </cell>
        </row>
        <row r="1036">
          <cell r="G1036">
            <v>-1339979.76</v>
          </cell>
        </row>
        <row r="1038">
          <cell r="G1038">
            <v>-26315.67</v>
          </cell>
        </row>
        <row r="1041">
          <cell r="G1041">
            <v>-259521.91</v>
          </cell>
        </row>
        <row r="1044">
          <cell r="G1044">
            <v>-21584.49</v>
          </cell>
        </row>
        <row r="1051">
          <cell r="G1051">
            <v>-32981163.879999999</v>
          </cell>
        </row>
        <row r="1074">
          <cell r="G1074">
            <v>-5267261.58</v>
          </cell>
        </row>
        <row r="1120">
          <cell r="G1120">
            <v>-26270401.66</v>
          </cell>
        </row>
        <row r="1184">
          <cell r="G1184">
            <v>-222949828.33000001</v>
          </cell>
        </row>
      </sheetData>
      <sheetData sheetId="10">
        <row r="311">
          <cell r="G311">
            <v>262784.25</v>
          </cell>
        </row>
        <row r="1268">
          <cell r="G1268">
            <v>1100895.1299999999</v>
          </cell>
        </row>
        <row r="1363">
          <cell r="G1363">
            <v>435513.06</v>
          </cell>
        </row>
        <row r="1443">
          <cell r="G1443">
            <v>11303868.380000001</v>
          </cell>
        </row>
        <row r="2142">
          <cell r="G2142">
            <v>357072.26</v>
          </cell>
        </row>
        <row r="2188">
          <cell r="G2188">
            <v>2333218.5</v>
          </cell>
        </row>
        <row r="2319">
          <cell r="G2319">
            <v>9377826.7100000009</v>
          </cell>
        </row>
        <row r="2462">
          <cell r="G2462">
            <v>9062.11</v>
          </cell>
        </row>
        <row r="2466">
          <cell r="G2466">
            <v>129919.18</v>
          </cell>
        </row>
        <row r="2474">
          <cell r="G2474">
            <v>2774019.06</v>
          </cell>
        </row>
        <row r="2494">
          <cell r="G2494">
            <v>-1358304.81</v>
          </cell>
        </row>
        <row r="2502">
          <cell r="G2502">
            <v>165280.63</v>
          </cell>
        </row>
        <row r="2520">
          <cell r="G2520">
            <v>755539.01</v>
          </cell>
        </row>
        <row r="2587">
          <cell r="G2587">
            <v>579135.13</v>
          </cell>
        </row>
        <row r="2684">
          <cell r="G2684">
            <v>-36883.25</v>
          </cell>
        </row>
        <row r="2688">
          <cell r="G2688">
            <v>-179711.59</v>
          </cell>
        </row>
        <row r="2694">
          <cell r="G2694">
            <v>1367196.37</v>
          </cell>
        </row>
        <row r="2700">
          <cell r="G2700">
            <v>1754711.98</v>
          </cell>
        </row>
        <row r="2836">
          <cell r="G2836">
            <v>12148826.279999999</v>
          </cell>
        </row>
        <row r="2934">
          <cell r="G2934">
            <v>845501.1</v>
          </cell>
        </row>
        <row r="2969">
          <cell r="G2969">
            <v>2515728.29</v>
          </cell>
        </row>
        <row r="2971">
          <cell r="G2971">
            <v>6780878.75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 DFC"/>
      <sheetName val="MEMORIA IMOB"/>
      <sheetName val="MEMORIA INTANGIVEL"/>
    </sheetNames>
    <sheetDataSet>
      <sheetData sheetId="0">
        <row r="11">
          <cell r="D11">
            <v>73020.04436</v>
          </cell>
          <cell r="F11">
            <v>70815.504790000006</v>
          </cell>
          <cell r="P11">
            <v>-6633.4998699999987</v>
          </cell>
        </row>
        <row r="12">
          <cell r="H12">
            <v>-875.5717799999984</v>
          </cell>
          <cell r="P12">
            <v>-12.17832999999996</v>
          </cell>
        </row>
        <row r="13">
          <cell r="H13">
            <v>-634.33923999999934</v>
          </cell>
        </row>
        <row r="17">
          <cell r="J17" t="str">
            <v>Encargos Regulatórios</v>
          </cell>
          <cell r="P17">
            <v>-1347.6918700000006</v>
          </cell>
        </row>
        <row r="29">
          <cell r="H29">
            <v>-758.6252300000001</v>
          </cell>
        </row>
        <row r="31">
          <cell r="P31">
            <v>2872.1508900000008</v>
          </cell>
        </row>
        <row r="39">
          <cell r="L39">
            <v>-26000</v>
          </cell>
        </row>
      </sheetData>
      <sheetData sheetId="1">
        <row r="11">
          <cell r="F11">
            <v>-252.13801000000001</v>
          </cell>
        </row>
        <row r="22">
          <cell r="E22">
            <v>-2633.8601999999996</v>
          </cell>
          <cell r="F22">
            <v>5.4073400000000005</v>
          </cell>
        </row>
      </sheetData>
      <sheetData sheetId="2">
        <row r="7">
          <cell r="D7">
            <v>-328.54635999999999</v>
          </cell>
          <cell r="F7">
            <v>-7948.8199800000002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ANCETE DEZ-2017"/>
      <sheetName val="MAPA"/>
      <sheetName val="BALANCETE DEZ-2016"/>
      <sheetName val="DESPESAS 2016"/>
    </sheetNames>
    <sheetDataSet>
      <sheetData sheetId="0" refreshError="1">
        <row r="11">
          <cell r="D11">
            <v>71386.418700000009</v>
          </cell>
          <cell r="F11">
            <v>73020.04436</v>
          </cell>
          <cell r="P11">
            <v>4440.9839199999997</v>
          </cell>
        </row>
        <row r="12">
          <cell r="P12">
            <v>-28.298870000000079</v>
          </cell>
        </row>
        <row r="13">
          <cell r="P13">
            <v>-432.94717000000037</v>
          </cell>
        </row>
        <row r="14">
          <cell r="P14">
            <v>4929.8361199999999</v>
          </cell>
        </row>
        <row r="15">
          <cell r="P15">
            <v>1464.1076600000006</v>
          </cell>
        </row>
        <row r="16">
          <cell r="P16">
            <v>-408.86079000000018</v>
          </cell>
        </row>
        <row r="17">
          <cell r="H17">
            <v>22586.633620000001</v>
          </cell>
          <cell r="P17">
            <v>-783.34434999999985</v>
          </cell>
        </row>
        <row r="19">
          <cell r="P19">
            <v>71.493260000000191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N8">
            <v>3567250.28</v>
          </cell>
        </row>
        <row r="15">
          <cell r="N15">
            <v>482695.91</v>
          </cell>
        </row>
        <row r="22">
          <cell r="N22">
            <v>318834.67</v>
          </cell>
        </row>
        <row r="29">
          <cell r="N29">
            <v>735717.7</v>
          </cell>
        </row>
        <row r="36">
          <cell r="N36">
            <v>394013.88</v>
          </cell>
        </row>
        <row r="43">
          <cell r="N43">
            <v>855816.7</v>
          </cell>
        </row>
        <row r="51">
          <cell r="N51">
            <v>223994.3</v>
          </cell>
        </row>
        <row r="62">
          <cell r="N62">
            <v>1452066.97</v>
          </cell>
        </row>
        <row r="69">
          <cell r="N69">
            <v>258129.69</v>
          </cell>
        </row>
        <row r="77">
          <cell r="N77">
            <v>463187.7</v>
          </cell>
        </row>
        <row r="88">
          <cell r="N88">
            <v>1985504.12</v>
          </cell>
        </row>
        <row r="93">
          <cell r="N93">
            <v>260731.41</v>
          </cell>
        </row>
        <row r="98">
          <cell r="N98">
            <v>131770.59</v>
          </cell>
        </row>
        <row r="103">
          <cell r="N103">
            <v>298393.17</v>
          </cell>
        </row>
        <row r="108">
          <cell r="N108">
            <v>175468.21</v>
          </cell>
        </row>
        <row r="113">
          <cell r="N113">
            <v>349334.76</v>
          </cell>
        </row>
        <row r="125">
          <cell r="N125">
            <v>69619.08</v>
          </cell>
        </row>
        <row r="130">
          <cell r="N130">
            <v>599005.36</v>
          </cell>
        </row>
        <row r="135">
          <cell r="N135">
            <v>139293.92000000001</v>
          </cell>
        </row>
        <row r="141">
          <cell r="N141">
            <v>251324.65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77"/>
  <sheetViews>
    <sheetView showGridLines="0" zoomScaleNormal="100" workbookViewId="0">
      <selection activeCell="N41" sqref="N41"/>
    </sheetView>
  </sheetViews>
  <sheetFormatPr defaultRowHeight="15.75" customHeight="1" x14ac:dyDescent="0.25"/>
  <cols>
    <col min="1" max="1" width="65" style="11" bestFit="1" customWidth="1"/>
    <col min="2" max="2" width="6.42578125" style="3" customWidth="1"/>
    <col min="3" max="3" width="2.140625" style="11" customWidth="1"/>
    <col min="4" max="4" width="12.5703125" style="11" bestFit="1" customWidth="1"/>
    <col min="5" max="5" width="2.140625" style="11" customWidth="1"/>
    <col min="6" max="6" width="13.7109375" style="11" bestFit="1" customWidth="1"/>
    <col min="7" max="7" width="2.140625" style="11" customWidth="1"/>
    <col min="8" max="8" width="10.28515625" style="11" bestFit="1" customWidth="1"/>
    <col min="9" max="9" width="56.28515625" style="11" bestFit="1" customWidth="1"/>
    <col min="10" max="11" width="5.85546875" style="3" customWidth="1"/>
    <col min="12" max="12" width="12.5703125" style="3" bestFit="1" customWidth="1"/>
    <col min="13" max="13" width="2" style="3" customWidth="1"/>
    <col min="14" max="14" width="12.5703125" style="11" bestFit="1" customWidth="1"/>
    <col min="15" max="15" width="2" style="11" customWidth="1"/>
    <col min="16" max="16384" width="9.140625" style="11"/>
  </cols>
  <sheetData>
    <row r="1" spans="1:15" s="2" customFormat="1" ht="20.25" x14ac:dyDescent="0.25">
      <c r="A1" s="1" t="s">
        <v>0</v>
      </c>
      <c r="B1" s="1"/>
      <c r="C1" s="1"/>
      <c r="D1" s="1"/>
      <c r="E1" s="1"/>
      <c r="F1" s="1"/>
      <c r="G1" s="1"/>
      <c r="J1" s="3"/>
      <c r="K1" s="3"/>
      <c r="L1" s="3"/>
      <c r="M1" s="3"/>
    </row>
    <row r="2" spans="1:15" s="2" customFormat="1" ht="14.25" customHeight="1" x14ac:dyDescent="0.25">
      <c r="B2" s="3"/>
      <c r="J2" s="3"/>
      <c r="K2" s="3"/>
      <c r="L2" s="3"/>
      <c r="M2" s="3"/>
    </row>
    <row r="3" spans="1:15" s="2" customFormat="1" ht="15.75" customHeight="1" x14ac:dyDescent="0.25">
      <c r="A3" s="4" t="s">
        <v>48</v>
      </c>
      <c r="B3" s="3"/>
      <c r="J3" s="3"/>
      <c r="K3" s="3"/>
      <c r="L3" s="3"/>
      <c r="M3" s="3"/>
    </row>
    <row r="4" spans="1:15" s="2" customFormat="1" ht="14.25" customHeight="1" x14ac:dyDescent="0.25">
      <c r="B4" s="3"/>
      <c r="J4" s="3"/>
      <c r="K4" s="3"/>
      <c r="L4" s="3"/>
      <c r="M4" s="3"/>
    </row>
    <row r="5" spans="1:15" s="2" customFormat="1" ht="15.75" customHeight="1" x14ac:dyDescent="0.25">
      <c r="A5" s="5" t="s">
        <v>1</v>
      </c>
      <c r="B5" s="6"/>
      <c r="C5" s="6"/>
      <c r="D5" s="6"/>
      <c r="E5" s="6"/>
      <c r="F5" s="6"/>
      <c r="G5" s="6"/>
      <c r="J5" s="3"/>
      <c r="K5" s="3"/>
      <c r="L5" s="3"/>
      <c r="M5" s="3"/>
    </row>
    <row r="6" spans="1:15" s="2" customFormat="1" ht="14.25" customHeight="1" x14ac:dyDescent="0.25">
      <c r="A6" s="7"/>
      <c r="B6" s="8"/>
      <c r="C6" s="7"/>
      <c r="D6" s="7"/>
      <c r="E6" s="7"/>
      <c r="F6" s="7"/>
      <c r="G6" s="7"/>
      <c r="J6" s="3"/>
      <c r="K6" s="3"/>
      <c r="L6" s="3"/>
      <c r="M6" s="3"/>
    </row>
    <row r="7" spans="1:15" s="2" customFormat="1" ht="14.25" customHeight="1" x14ac:dyDescent="0.25">
      <c r="A7" s="7"/>
      <c r="B7" s="8"/>
      <c r="C7" s="7"/>
      <c r="D7" s="7"/>
      <c r="E7" s="7"/>
      <c r="F7" s="7"/>
      <c r="G7" s="7"/>
      <c r="J7" s="3"/>
      <c r="K7" s="3"/>
      <c r="L7" s="3"/>
      <c r="M7" s="3"/>
    </row>
    <row r="8" spans="1:15" ht="14.25" customHeight="1" x14ac:dyDescent="0.25">
      <c r="A8" s="9" t="s">
        <v>2</v>
      </c>
      <c r="B8" s="10" t="s">
        <v>3</v>
      </c>
      <c r="C8" s="9"/>
      <c r="D8" s="10">
        <v>43100</v>
      </c>
      <c r="E8" s="9"/>
      <c r="F8" s="10">
        <v>42735</v>
      </c>
      <c r="G8" s="9"/>
      <c r="I8" s="12" t="s">
        <v>4</v>
      </c>
      <c r="J8" s="10" t="s">
        <v>3</v>
      </c>
      <c r="K8" s="10"/>
      <c r="L8" s="10">
        <f>D8</f>
        <v>43100</v>
      </c>
      <c r="M8" s="10"/>
      <c r="N8" s="10">
        <f>F8</f>
        <v>42735</v>
      </c>
      <c r="O8" s="10"/>
    </row>
    <row r="9" spans="1:15" ht="14.25" customHeight="1" x14ac:dyDescent="0.25">
      <c r="A9" s="13"/>
      <c r="B9" s="14"/>
      <c r="C9" s="13"/>
      <c r="D9" s="13"/>
      <c r="E9" s="13"/>
      <c r="G9" s="13"/>
      <c r="I9" s="15"/>
      <c r="J9" s="16"/>
      <c r="K9" s="16"/>
      <c r="L9" s="16"/>
      <c r="M9" s="16"/>
    </row>
    <row r="10" spans="1:15" ht="14.25" customHeight="1" x14ac:dyDescent="0.25">
      <c r="A10" s="12" t="s">
        <v>5</v>
      </c>
      <c r="B10" s="17"/>
      <c r="C10" s="12"/>
      <c r="D10" s="12"/>
      <c r="E10" s="12"/>
      <c r="G10" s="12"/>
      <c r="I10" s="12" t="s">
        <v>5</v>
      </c>
      <c r="J10" s="17"/>
      <c r="K10" s="17"/>
      <c r="L10" s="17"/>
      <c r="M10" s="17"/>
    </row>
    <row r="11" spans="1:15" ht="14.25" customHeight="1" x14ac:dyDescent="0.25">
      <c r="A11" s="18" t="s">
        <v>6</v>
      </c>
      <c r="B11" s="16">
        <v>4</v>
      </c>
      <c r="C11" s="15"/>
      <c r="D11" s="19">
        <f>SUM('[1]BALANCETE DEZ-2017'!G4)/1000</f>
        <v>71386.418700000009</v>
      </c>
      <c r="E11" s="15"/>
      <c r="F11" s="20">
        <f>SUM('[1]BALANCETE DEZ-2016'!G4)/1000</f>
        <v>73020.04436</v>
      </c>
      <c r="G11" s="15"/>
      <c r="H11" s="21"/>
      <c r="I11" s="18" t="s">
        <v>7</v>
      </c>
      <c r="J11" s="16">
        <v>14</v>
      </c>
      <c r="K11" s="16"/>
      <c r="L11" s="22">
        <v>11260</v>
      </c>
      <c r="M11" s="16"/>
      <c r="N11" s="20">
        <f>-SUM('[1]BALANCETE DEZ-2016'!G666)/1000</f>
        <v>6819.0160800000003</v>
      </c>
      <c r="O11" s="20"/>
    </row>
    <row r="12" spans="1:15" s="26" customFormat="1" ht="14.25" customHeight="1" x14ac:dyDescent="0.25">
      <c r="A12" s="18" t="s">
        <v>8</v>
      </c>
      <c r="B12" s="23">
        <v>5</v>
      </c>
      <c r="C12" s="18"/>
      <c r="D12" s="24">
        <f>SUM('[1]BALANCETE DEZ-2017'!G114+'[1]BALANCETE DEZ-2017'!G198)/1000</f>
        <v>32311.083079999997</v>
      </c>
      <c r="E12" s="18"/>
      <c r="F12" s="20">
        <f>SUM('[1]BALANCETE DEZ-2016'!G94+'[1]BALANCETE DEZ-2016'!G181)/1000</f>
        <v>33320.18548</v>
      </c>
      <c r="G12" s="18"/>
      <c r="H12" s="21"/>
      <c r="I12" s="18" t="s">
        <v>9</v>
      </c>
      <c r="J12" s="23"/>
      <c r="K12" s="23"/>
      <c r="L12" s="25">
        <f>-SUM('[1]BALANCETE DEZ-2017'!G968+'[1]BALANCETE DEZ-2017'!G971+'[1]BALANCETE DEZ-2017'!G976)/1000</f>
        <v>406.97503999999998</v>
      </c>
      <c r="M12" s="23"/>
      <c r="N12" s="20">
        <f>-SUM('[1]BALANCETE DEZ-2016'!G960+'[1]BALANCETE DEZ-2016'!G962+'[1]BALANCETE DEZ-2016'!G963+'[1]BALANCETE DEZ-2016'!G968+'[1]BALANCETE DEZ-2016'!G969+'[1]BALANCETE DEZ-2016'!G970+'[1]BALANCETE DEZ-2016'!G971+'[1]BALANCETE DEZ-2016'!G976+'[1]BALANCETE DEZ-2016'!G979+'[1]BALANCETE DEZ-2016'!G985)/1000</f>
        <v>435.27391000000006</v>
      </c>
      <c r="O12" s="20"/>
    </row>
    <row r="13" spans="1:15" ht="14.25" customHeight="1" x14ac:dyDescent="0.25">
      <c r="A13" s="18" t="s">
        <v>10</v>
      </c>
      <c r="B13" s="16"/>
      <c r="C13" s="15"/>
      <c r="D13" s="19">
        <f>SUM('[1]BALANCETE DEZ-2017'!G213)/1000</f>
        <v>1719.23703</v>
      </c>
      <c r="E13" s="15"/>
      <c r="F13" s="20">
        <f>SUM('[1]BALANCETE DEZ-2016'!G197)/1000</f>
        <v>1708.9278999999999</v>
      </c>
      <c r="G13" s="15"/>
      <c r="H13" s="21"/>
      <c r="I13" s="18" t="s">
        <v>11</v>
      </c>
      <c r="J13" s="16">
        <v>15</v>
      </c>
      <c r="K13" s="16"/>
      <c r="L13" s="22">
        <f>-SUM('[1]BALANCETE DEZ-2017'!G1093)/1000</f>
        <v>4834.31441</v>
      </c>
      <c r="M13" s="16"/>
      <c r="N13" s="20">
        <f>-SUM('[1]BALANCETE DEZ-2016'!G1074)/1000</f>
        <v>5267.2615800000003</v>
      </c>
      <c r="O13" s="20"/>
    </row>
    <row r="14" spans="1:15" ht="14.25" customHeight="1" x14ac:dyDescent="0.25">
      <c r="A14" s="27" t="s">
        <v>12</v>
      </c>
      <c r="B14" s="28"/>
      <c r="C14" s="27"/>
      <c r="D14" s="29">
        <f>SUM('[1]BALANCETE DEZ-2017'!G207)/1000</f>
        <v>1299.0242700000001</v>
      </c>
      <c r="E14" s="27"/>
      <c r="F14" s="20">
        <f>SUM('[1]BALANCETE DEZ-2016'!G190)/1000</f>
        <v>2440.0959800000001</v>
      </c>
      <c r="G14" s="27"/>
      <c r="H14" s="21"/>
      <c r="I14" s="26" t="s">
        <v>13</v>
      </c>
      <c r="J14" s="16">
        <v>6</v>
      </c>
      <c r="K14" s="16"/>
      <c r="L14" s="22">
        <v>37911</v>
      </c>
      <c r="M14" s="16"/>
      <c r="N14" s="20">
        <f>-SUM('[1]BALANCETE DEZ-2016'!G1051)/1000</f>
        <v>32981.16388</v>
      </c>
      <c r="O14" s="20"/>
    </row>
    <row r="15" spans="1:15" ht="14.25" customHeight="1" x14ac:dyDescent="0.25">
      <c r="A15" s="27" t="s">
        <v>14</v>
      </c>
      <c r="B15" s="28"/>
      <c r="C15" s="27"/>
      <c r="D15" s="29">
        <f>SUM('[1]BALANCETE DEZ-2017'!G229)/1000</f>
        <v>1546.6220700000001</v>
      </c>
      <c r="E15" s="27"/>
      <c r="F15" s="20">
        <f>SUM('[1]BALANCETE DEZ-2016'!G223)/1000</f>
        <v>1573.60727</v>
      </c>
      <c r="G15" s="27"/>
      <c r="H15" s="21"/>
      <c r="I15" s="18" t="s">
        <v>15</v>
      </c>
      <c r="J15" s="23">
        <v>16</v>
      </c>
      <c r="K15" s="23"/>
      <c r="L15" s="25">
        <f>-SUM('[1]BALANCETE DEZ-2017'!G1032+'[1]BALANCETE DEZ-2017'!G1034+'[1]BALANCETE DEZ-2017'!G1037+'[1]BALANCETE DEZ-2017'!G1040)/1000</f>
        <v>3111.5094900000004</v>
      </c>
      <c r="M15" s="23"/>
      <c r="N15" s="20">
        <f>-SUM('[1]BALANCETE DEZ-2016'!G1036+'[1]BALANCETE DEZ-2016'!G1038+'[1]BALANCETE DEZ-2016'!G1041+'[1]BALANCETE DEZ-2016'!G1044)/1000</f>
        <v>1647.4018299999998</v>
      </c>
      <c r="O15" s="20"/>
    </row>
    <row r="16" spans="1:15" s="26" customFormat="1" ht="14.25" customHeight="1" x14ac:dyDescent="0.25">
      <c r="A16" s="27" t="s">
        <v>16</v>
      </c>
      <c r="B16" s="28"/>
      <c r="C16" s="27"/>
      <c r="D16" s="29">
        <f>SUM('[1]BALANCETE DEZ-2017'!G274)/1000</f>
        <v>310.40433000000002</v>
      </c>
      <c r="E16" s="27"/>
      <c r="F16" s="20">
        <f>SUM('[1]BALANCETE DEZ-2016'!G266)/1000</f>
        <v>291.50846999999999</v>
      </c>
      <c r="G16" s="27"/>
      <c r="H16" s="21"/>
      <c r="I16" s="18" t="s">
        <v>17</v>
      </c>
      <c r="J16" s="23">
        <v>17</v>
      </c>
      <c r="K16" s="23"/>
      <c r="L16" s="25">
        <f>-SUM('[1]BALANCETE DEZ-2017'!G1022)/1000</f>
        <v>2272.0425299999997</v>
      </c>
      <c r="M16" s="23"/>
      <c r="N16" s="20">
        <f>-SUM('[1]BALANCETE DEZ-2016'!G1026)/1000</f>
        <v>2680.9033199999999</v>
      </c>
      <c r="O16" s="20"/>
    </row>
    <row r="17" spans="1:15" s="26" customFormat="1" ht="14.25" customHeight="1" x14ac:dyDescent="0.25">
      <c r="A17" s="26" t="s">
        <v>18</v>
      </c>
      <c r="B17" s="3">
        <v>6</v>
      </c>
      <c r="C17" s="11"/>
      <c r="D17" s="21">
        <v>28902</v>
      </c>
      <c r="E17" s="11"/>
      <c r="F17" s="20">
        <f>SUM('[1]BALANCETE DEZ-2016'!G236)/1000</f>
        <v>6315.3663799999995</v>
      </c>
      <c r="G17" s="27"/>
      <c r="H17" s="21"/>
      <c r="I17" s="18" t="s">
        <v>19</v>
      </c>
      <c r="J17" s="16">
        <v>17</v>
      </c>
      <c r="K17" s="16"/>
      <c r="L17" s="22">
        <f>-SUM('[1]BALANCETE DEZ-2017'!G1029)/1000</f>
        <v>2612.5757100000001</v>
      </c>
      <c r="M17" s="16"/>
      <c r="N17" s="20">
        <f>-SUM('[1]BALANCETE DEZ-2016'!G1033)/1000</f>
        <v>3395.9200599999999</v>
      </c>
      <c r="O17" s="20"/>
    </row>
    <row r="18" spans="1:15" ht="14.25" customHeight="1" x14ac:dyDescent="0.25">
      <c r="A18" s="30" t="s">
        <v>20</v>
      </c>
      <c r="B18" s="3">
        <v>8</v>
      </c>
      <c r="D18" s="21">
        <f>SUM('[1]BALANCETE DEZ-2017'!G416)/1000</f>
        <v>2734.3729500000004</v>
      </c>
      <c r="F18" s="20">
        <f>SUM('[1]BALANCETE DEZ-2016'!G405)/1000</f>
        <v>2886.6041399999999</v>
      </c>
      <c r="H18" s="21"/>
      <c r="I18" s="18" t="s">
        <v>21</v>
      </c>
      <c r="J18" s="16">
        <v>18</v>
      </c>
      <c r="K18" s="16"/>
      <c r="L18" s="22">
        <f>-SUM('[1]BALANCETE DEZ-2017'!G979)/1000</f>
        <v>6996.1639800000003</v>
      </c>
      <c r="M18" s="16"/>
      <c r="N18" s="20">
        <v>11358</v>
      </c>
      <c r="O18" s="20"/>
    </row>
    <row r="19" spans="1:15" ht="14.25" customHeight="1" x14ac:dyDescent="0.25">
      <c r="A19" s="27" t="s">
        <v>22</v>
      </c>
      <c r="B19" s="28">
        <v>9</v>
      </c>
      <c r="C19" s="27"/>
      <c r="D19" s="31">
        <v>3703</v>
      </c>
      <c r="E19" s="27"/>
      <c r="F19" s="32">
        <v>12102</v>
      </c>
      <c r="H19" s="21"/>
      <c r="I19" s="18" t="s">
        <v>23</v>
      </c>
      <c r="J19" s="16"/>
      <c r="K19" s="16"/>
      <c r="L19" s="22">
        <f>-SUM('[1]BALANCETE DEZ-2017'!G964+'[1]BALANCETE DEZ-2017'!G965+'[1]BALANCETE DEZ-2017'!G966+'[1]BALANCETE DEZ-2017'!G967)/1000</f>
        <v>2514.4932600000002</v>
      </c>
      <c r="M19" s="16"/>
      <c r="N19" s="20">
        <v>2443</v>
      </c>
      <c r="O19" s="20"/>
    </row>
    <row r="20" spans="1:15" ht="14.25" customHeight="1" x14ac:dyDescent="0.25">
      <c r="A20" s="33"/>
      <c r="B20" s="34"/>
      <c r="C20" s="33"/>
      <c r="D20" s="35"/>
      <c r="E20" s="33"/>
      <c r="F20" s="21"/>
      <c r="H20" s="21"/>
      <c r="I20" s="11" t="s">
        <v>24</v>
      </c>
      <c r="L20" s="36">
        <v>19</v>
      </c>
      <c r="N20" s="3" t="s">
        <v>25</v>
      </c>
      <c r="O20" s="20"/>
    </row>
    <row r="21" spans="1:15" ht="14.25" customHeight="1" x14ac:dyDescent="0.25">
      <c r="A21" s="27" t="s">
        <v>26</v>
      </c>
      <c r="B21" s="28"/>
      <c r="C21" s="27"/>
      <c r="D21" s="31">
        <f>SUM(D11:D19)-1</f>
        <v>143911.16243</v>
      </c>
      <c r="E21" s="27"/>
      <c r="F21" s="37">
        <v>133659</v>
      </c>
      <c r="G21" s="27"/>
      <c r="H21" s="21"/>
      <c r="I21" s="18" t="s">
        <v>27</v>
      </c>
      <c r="J21" s="16"/>
      <c r="K21" s="16"/>
      <c r="L21" s="38">
        <f>-SUM('[1]BALANCETE DEZ-2017'!G944)/1000</f>
        <v>0.68661000000000005</v>
      </c>
      <c r="M21" s="16"/>
      <c r="N21" s="32">
        <f>-SUM('[1]BALANCETE DEZ-2016'!G952)/1000</f>
        <v>0.68661000000000005</v>
      </c>
      <c r="O21" s="39"/>
    </row>
    <row r="22" spans="1:15" ht="14.25" customHeight="1" x14ac:dyDescent="0.25">
      <c r="A22" s="40"/>
      <c r="B22" s="41"/>
      <c r="C22" s="40"/>
      <c r="D22" s="42"/>
      <c r="E22" s="40"/>
      <c r="F22" s="21"/>
      <c r="G22" s="33"/>
      <c r="H22" s="21"/>
      <c r="I22" s="15"/>
      <c r="J22" s="16"/>
      <c r="K22" s="16"/>
      <c r="L22" s="22"/>
      <c r="M22" s="16"/>
      <c r="N22" s="21"/>
      <c r="O22" s="43"/>
    </row>
    <row r="23" spans="1:15" ht="14.25" customHeight="1" x14ac:dyDescent="0.25">
      <c r="A23" s="40" t="s">
        <v>28</v>
      </c>
      <c r="B23" s="28"/>
      <c r="C23" s="27"/>
      <c r="D23" s="29"/>
      <c r="E23" s="27"/>
      <c r="F23" s="21"/>
      <c r="G23" s="27"/>
      <c r="I23" s="15" t="s">
        <v>26</v>
      </c>
      <c r="J23" s="16"/>
      <c r="K23" s="16"/>
      <c r="L23" s="38">
        <f>SUM(L11:L21)</f>
        <v>71938.761029999994</v>
      </c>
      <c r="M23" s="16"/>
      <c r="N23" s="37">
        <f>SUM(N11:N21)-1</f>
        <v>67027.627269999997</v>
      </c>
      <c r="O23" s="43"/>
    </row>
    <row r="24" spans="1:15" ht="14.25" customHeight="1" x14ac:dyDescent="0.25">
      <c r="A24" s="27" t="s">
        <v>29</v>
      </c>
      <c r="B24" s="28"/>
      <c r="C24" s="27"/>
      <c r="D24" s="29">
        <f>SUM('[1]BALANCETE DEZ-2017'!G465)/1000</f>
        <v>401.79361</v>
      </c>
      <c r="E24" s="27"/>
      <c r="F24" s="20">
        <v>546</v>
      </c>
      <c r="G24" s="40"/>
      <c r="I24" s="12"/>
      <c r="J24" s="17"/>
      <c r="K24" s="17"/>
      <c r="L24" s="44"/>
      <c r="M24" s="17"/>
      <c r="N24" s="21"/>
      <c r="O24" s="43"/>
    </row>
    <row r="25" spans="1:15" ht="14.25" customHeight="1" x14ac:dyDescent="0.25">
      <c r="A25" s="11" t="s">
        <v>30</v>
      </c>
      <c r="B25" s="3">
        <v>9</v>
      </c>
      <c r="D25" s="21">
        <f>SUM('[1]BALANCETE DEZ-2017'!G467)/1000</f>
        <v>10223.984269999999</v>
      </c>
      <c r="F25" s="3" t="s">
        <v>25</v>
      </c>
      <c r="G25" s="27"/>
      <c r="I25" s="12" t="s">
        <v>28</v>
      </c>
      <c r="J25" s="16"/>
      <c r="K25" s="16"/>
      <c r="L25" s="22"/>
      <c r="M25" s="16"/>
      <c r="N25" s="21"/>
      <c r="O25" s="21"/>
    </row>
    <row r="26" spans="1:15" ht="14.25" customHeight="1" x14ac:dyDescent="0.25">
      <c r="A26" s="27" t="s">
        <v>31</v>
      </c>
      <c r="B26" s="28">
        <v>10</v>
      </c>
      <c r="C26" s="27"/>
      <c r="D26" s="29">
        <v>4935</v>
      </c>
      <c r="E26" s="27"/>
      <c r="F26" s="20">
        <f>SUM('[1]BALANCETE DEZ-2016'!G450)/1000</f>
        <v>2696.7591400000001</v>
      </c>
      <c r="G26" s="27"/>
      <c r="I26" s="18" t="s">
        <v>32</v>
      </c>
      <c r="J26" s="16">
        <v>19</v>
      </c>
      <c r="K26" s="16"/>
      <c r="L26" s="38">
        <v>39367</v>
      </c>
      <c r="M26" s="16"/>
      <c r="N26" s="32">
        <f>-SUM('[1]BALANCETE DEZ-2016'!G1120)/1000</f>
        <v>26270.40166</v>
      </c>
      <c r="O26" s="20"/>
    </row>
    <row r="27" spans="1:15" ht="14.25" customHeight="1" x14ac:dyDescent="0.25">
      <c r="A27" s="27" t="s">
        <v>33</v>
      </c>
      <c r="B27" s="28">
        <v>7</v>
      </c>
      <c r="C27" s="27"/>
      <c r="D27" s="29">
        <f>SUM('[1]BALANCETE DEZ-2017'!G447)/1000</f>
        <v>8762.9092200000014</v>
      </c>
      <c r="E27" s="27"/>
      <c r="F27" s="20">
        <v>8361</v>
      </c>
      <c r="G27" s="27"/>
      <c r="H27" s="21"/>
      <c r="I27" s="15"/>
      <c r="J27" s="16"/>
      <c r="K27" s="16"/>
      <c r="L27" s="22"/>
      <c r="M27" s="16"/>
      <c r="N27" s="21"/>
    </row>
    <row r="28" spans="1:15" ht="14.25" customHeight="1" x14ac:dyDescent="0.25">
      <c r="A28" s="27" t="s">
        <v>34</v>
      </c>
      <c r="B28" s="28"/>
      <c r="C28" s="27"/>
      <c r="D28" s="29">
        <f>SUM('[1]BALANCETE DEZ-2017'!G437)/1000</f>
        <v>1231.1329499999999</v>
      </c>
      <c r="E28" s="27"/>
      <c r="F28" s="20">
        <v>1173</v>
      </c>
      <c r="G28" s="27"/>
      <c r="H28" s="21"/>
      <c r="I28" s="15" t="s">
        <v>35</v>
      </c>
      <c r="J28" s="16"/>
      <c r="K28" s="16"/>
      <c r="L28" s="22">
        <f>SUM(L26)</f>
        <v>39367</v>
      </c>
      <c r="M28" s="16"/>
      <c r="N28" s="21">
        <f>SUM(N26:N27)</f>
        <v>26270.40166</v>
      </c>
      <c r="O28" s="20"/>
    </row>
    <row r="29" spans="1:15" ht="14.25" customHeight="1" x14ac:dyDescent="0.25">
      <c r="A29" s="11" t="s">
        <v>36</v>
      </c>
      <c r="B29" s="3">
        <v>25</v>
      </c>
      <c r="D29" s="21">
        <v>7622</v>
      </c>
      <c r="F29" s="21">
        <v>4112</v>
      </c>
      <c r="G29" s="27"/>
      <c r="H29" s="21"/>
      <c r="I29" s="12"/>
      <c r="L29" s="36"/>
      <c r="N29" s="21"/>
      <c r="O29" s="21"/>
    </row>
    <row r="30" spans="1:15" ht="14.25" customHeight="1" x14ac:dyDescent="0.25">
      <c r="A30" s="27" t="s">
        <v>37</v>
      </c>
      <c r="B30" s="28">
        <v>11</v>
      </c>
      <c r="C30" s="27"/>
      <c r="D30" s="31">
        <f>SUM('[1]BALANCETE DEZ-2017'!G473)/1000</f>
        <v>6622.2640000000001</v>
      </c>
      <c r="E30" s="27"/>
      <c r="F30" s="32">
        <f>SUM('[1]BALANCETE DEZ-2016'!G453)/1000</f>
        <v>4231.3490000000002</v>
      </c>
      <c r="H30" s="21"/>
      <c r="I30" s="15" t="s">
        <v>38</v>
      </c>
      <c r="J30" s="16">
        <v>20</v>
      </c>
      <c r="K30" s="16"/>
      <c r="L30" s="22"/>
      <c r="M30" s="16"/>
      <c r="N30" s="21"/>
      <c r="O30" s="21"/>
    </row>
    <row r="31" spans="1:15" ht="14.25" customHeight="1" x14ac:dyDescent="0.25">
      <c r="A31" s="45"/>
      <c r="B31" s="46"/>
      <c r="C31" s="45"/>
      <c r="D31" s="39"/>
      <c r="E31" s="45"/>
      <c r="F31" s="21"/>
      <c r="G31" s="27"/>
      <c r="H31" s="21"/>
      <c r="I31" s="18" t="s">
        <v>39</v>
      </c>
      <c r="J31" s="16"/>
      <c r="K31" s="16"/>
      <c r="L31" s="22">
        <f>-SUM('[1]BALANCETE DEZ-2017'!G1200)/1000</f>
        <v>222949.82833000002</v>
      </c>
      <c r="M31" s="16"/>
      <c r="N31" s="20">
        <f>-SUM('[1]BALANCETE DEZ-2016'!G1184)/1000</f>
        <v>222949.82833000002</v>
      </c>
      <c r="O31" s="21"/>
    </row>
    <row r="32" spans="1:15" ht="14.25" customHeight="1" x14ac:dyDescent="0.25">
      <c r="A32" s="27"/>
      <c r="B32" s="28"/>
      <c r="C32" s="27"/>
      <c r="D32" s="31">
        <f>SUM(D24:D30)</f>
        <v>39799.084050000005</v>
      </c>
      <c r="E32" s="27"/>
      <c r="F32" s="37">
        <f>SUM(F24:F30)</f>
        <v>21120.108140000004</v>
      </c>
      <c r="G32" s="27"/>
      <c r="H32" s="21"/>
      <c r="I32" s="18" t="s">
        <v>40</v>
      </c>
      <c r="J32" s="16"/>
      <c r="K32" s="16"/>
      <c r="L32" s="22">
        <v>6814</v>
      </c>
      <c r="M32" s="16"/>
      <c r="N32" s="20">
        <v>6493</v>
      </c>
      <c r="O32" s="21"/>
    </row>
    <row r="33" spans="1:15" ht="14.25" customHeight="1" x14ac:dyDescent="0.25">
      <c r="A33" s="47"/>
      <c r="B33" s="28"/>
      <c r="C33" s="27"/>
      <c r="D33" s="29"/>
      <c r="E33" s="27"/>
      <c r="F33" s="21"/>
      <c r="G33" s="45"/>
      <c r="I33" s="18" t="s">
        <v>41</v>
      </c>
      <c r="J33" s="16"/>
      <c r="K33" s="16"/>
      <c r="L33" s="38">
        <v>28580</v>
      </c>
      <c r="M33" s="16"/>
      <c r="N33" s="32">
        <v>22343</v>
      </c>
      <c r="O33" s="20"/>
    </row>
    <row r="34" spans="1:15" ht="14.25" customHeight="1" x14ac:dyDescent="0.25">
      <c r="A34" s="27"/>
      <c r="B34" s="28"/>
      <c r="C34" s="27"/>
      <c r="D34" s="36"/>
      <c r="E34" s="27"/>
      <c r="F34" s="36"/>
      <c r="G34" s="27"/>
      <c r="I34" s="48"/>
      <c r="J34" s="49"/>
      <c r="K34" s="49"/>
      <c r="L34" s="50"/>
      <c r="M34" s="49"/>
      <c r="N34" s="21"/>
      <c r="O34" s="20"/>
    </row>
    <row r="35" spans="1:15" ht="14.25" customHeight="1" x14ac:dyDescent="0.25">
      <c r="A35" s="27" t="s">
        <v>42</v>
      </c>
      <c r="B35" s="28">
        <v>12</v>
      </c>
      <c r="C35" s="27"/>
      <c r="D35" s="29">
        <v>38915</v>
      </c>
      <c r="E35" s="27"/>
      <c r="F35" s="21">
        <v>42373</v>
      </c>
      <c r="G35" s="27"/>
      <c r="I35" s="18" t="s">
        <v>43</v>
      </c>
      <c r="J35" s="49"/>
      <c r="K35" s="49"/>
      <c r="L35" s="51">
        <f>SUM(L31:L33)</f>
        <v>258343.82833000002</v>
      </c>
      <c r="M35" s="49"/>
      <c r="N35" s="37">
        <f>SUM(N31:N33)</f>
        <v>251785.82833000002</v>
      </c>
      <c r="O35" s="20"/>
    </row>
    <row r="36" spans="1:15" ht="14.25" customHeight="1" x14ac:dyDescent="0.25">
      <c r="A36" s="27" t="s">
        <v>44</v>
      </c>
      <c r="B36" s="28">
        <v>13</v>
      </c>
      <c r="C36" s="27"/>
      <c r="D36" s="31">
        <v>147025</v>
      </c>
      <c r="E36" s="27"/>
      <c r="F36" s="37">
        <v>147932</v>
      </c>
      <c r="G36" s="27"/>
      <c r="I36" s="48"/>
      <c r="J36" s="49"/>
      <c r="K36" s="49"/>
      <c r="L36" s="50"/>
      <c r="M36" s="49"/>
      <c r="N36" s="21"/>
      <c r="O36" s="21"/>
    </row>
    <row r="37" spans="1:15" ht="14.25" customHeight="1" thickBot="1" x14ac:dyDescent="0.3">
      <c r="A37" s="27"/>
      <c r="B37" s="28"/>
      <c r="C37" s="27"/>
      <c r="D37" s="29"/>
      <c r="E37" s="27"/>
      <c r="F37" s="21"/>
      <c r="G37" s="27"/>
      <c r="H37" s="21"/>
      <c r="I37" s="18" t="s">
        <v>45</v>
      </c>
      <c r="J37" s="49"/>
      <c r="K37" s="49"/>
      <c r="L37" s="52">
        <f>SUM(L23+L28+L35)</f>
        <v>369649.58935999998</v>
      </c>
      <c r="M37" s="49"/>
      <c r="N37" s="53">
        <f>SUM(N23+N28+N35)</f>
        <v>345083.85726000002</v>
      </c>
      <c r="O37" s="21"/>
    </row>
    <row r="38" spans="1:15" ht="14.25" customHeight="1" thickTop="1" x14ac:dyDescent="0.25">
      <c r="A38" s="27"/>
      <c r="B38" s="28"/>
      <c r="C38" s="27"/>
      <c r="D38" s="31">
        <f>SUM(D35:D36)</f>
        <v>185940</v>
      </c>
      <c r="E38" s="27"/>
      <c r="F38" s="37">
        <f>SUM(F34:F36)</f>
        <v>190305</v>
      </c>
      <c r="G38" s="27"/>
      <c r="H38" s="21"/>
      <c r="J38" s="11"/>
      <c r="K38" s="11"/>
      <c r="L38" s="11"/>
      <c r="M38" s="11"/>
      <c r="O38" s="21"/>
    </row>
    <row r="39" spans="1:15" ht="14.25" customHeight="1" x14ac:dyDescent="0.25">
      <c r="A39" s="27"/>
      <c r="B39" s="28"/>
      <c r="C39" s="27"/>
      <c r="D39" s="29"/>
      <c r="E39" s="27"/>
      <c r="F39" s="21"/>
      <c r="G39" s="27"/>
      <c r="O39" s="21"/>
    </row>
    <row r="40" spans="1:15" ht="14.25" customHeight="1" thickBot="1" x14ac:dyDescent="0.3">
      <c r="A40" s="33" t="s">
        <v>46</v>
      </c>
      <c r="B40" s="34"/>
      <c r="C40" s="33"/>
      <c r="D40" s="54">
        <f>SUM(D21+D32+D38)</f>
        <v>369650.24647999997</v>
      </c>
      <c r="E40" s="33"/>
      <c r="F40" s="53">
        <f>SUM(F21+F32+F38)</f>
        <v>345084.10814000003</v>
      </c>
      <c r="G40" s="27"/>
      <c r="L40" s="36"/>
    </row>
    <row r="41" spans="1:15" ht="14.25" customHeight="1" thickTop="1" x14ac:dyDescent="0.25">
      <c r="A41" s="9"/>
      <c r="B41" s="55"/>
      <c r="C41" s="9"/>
      <c r="D41" s="9"/>
      <c r="E41" s="9"/>
      <c r="F41" s="56"/>
      <c r="G41" s="27"/>
    </row>
    <row r="42" spans="1:15" ht="14.25" customHeight="1" x14ac:dyDescent="0.25">
      <c r="A42" s="57"/>
      <c r="B42" s="58"/>
      <c r="C42" s="57"/>
      <c r="D42" s="57"/>
      <c r="E42" s="57"/>
      <c r="F42" s="59"/>
      <c r="G42" s="33"/>
      <c r="I42" s="60"/>
      <c r="J42" s="61"/>
      <c r="K42" s="61"/>
      <c r="L42" s="61"/>
      <c r="M42" s="61"/>
      <c r="N42" s="60"/>
      <c r="O42" s="60"/>
    </row>
    <row r="43" spans="1:15" ht="14.25" customHeight="1" x14ac:dyDescent="0.25">
      <c r="A43" s="9" t="s">
        <v>47</v>
      </c>
      <c r="B43" s="55"/>
      <c r="C43" s="9"/>
      <c r="D43" s="9"/>
      <c r="E43" s="9"/>
      <c r="F43" s="56"/>
      <c r="G43" s="9"/>
      <c r="I43" s="62"/>
      <c r="J43" s="49"/>
      <c r="K43" s="49"/>
      <c r="L43" s="49"/>
      <c r="M43" s="49"/>
      <c r="N43" s="63"/>
      <c r="O43" s="63"/>
    </row>
    <row r="44" spans="1:15" ht="14.25" customHeight="1" x14ac:dyDescent="0.25">
      <c r="G44" s="57"/>
      <c r="N44" s="21"/>
      <c r="O44" s="21"/>
    </row>
    <row r="45" spans="1:15" ht="14.25" customHeight="1" x14ac:dyDescent="0.25">
      <c r="G45" s="9"/>
      <c r="N45" s="21"/>
      <c r="O45" s="21"/>
    </row>
    <row r="46" spans="1:15" ht="14.25" customHeight="1" x14ac:dyDescent="0.25">
      <c r="A46" s="64"/>
      <c r="B46" s="14"/>
      <c r="C46" s="64"/>
      <c r="D46" s="64"/>
      <c r="E46" s="64"/>
      <c r="F46" s="65"/>
      <c r="G46" s="64"/>
      <c r="N46" s="21"/>
      <c r="O46" s="21"/>
    </row>
    <row r="47" spans="1:15" ht="14.25" customHeight="1" x14ac:dyDescent="0.25">
      <c r="I47" s="21"/>
      <c r="N47" s="21"/>
      <c r="O47" s="21"/>
    </row>
    <row r="48" spans="1:15" ht="14.25" customHeight="1" x14ac:dyDescent="0.25">
      <c r="A48" s="64"/>
      <c r="B48" s="14"/>
      <c r="C48" s="64"/>
      <c r="D48" s="64"/>
      <c r="E48" s="64"/>
      <c r="F48" s="65"/>
      <c r="G48" s="64"/>
      <c r="N48" s="21"/>
      <c r="O48" s="21"/>
    </row>
    <row r="49" spans="1:7" ht="14.25" customHeight="1" x14ac:dyDescent="0.25">
      <c r="A49" s="64"/>
      <c r="B49" s="14"/>
      <c r="C49" s="64"/>
      <c r="D49" s="64"/>
      <c r="E49" s="64"/>
      <c r="F49" s="65"/>
      <c r="G49" s="64"/>
    </row>
    <row r="50" spans="1:7" ht="14.25" customHeight="1" x14ac:dyDescent="0.25">
      <c r="A50" s="64"/>
      <c r="B50" s="14"/>
      <c r="C50" s="64"/>
      <c r="D50" s="64"/>
      <c r="E50" s="64"/>
      <c r="F50" s="65"/>
      <c r="G50" s="64"/>
    </row>
    <row r="51" spans="1:7" ht="14.25" customHeight="1" x14ac:dyDescent="0.25">
      <c r="A51" s="64"/>
      <c r="B51" s="14"/>
      <c r="C51" s="64"/>
      <c r="D51" s="64"/>
      <c r="E51" s="64"/>
      <c r="F51" s="65"/>
      <c r="G51" s="64"/>
    </row>
    <row r="52" spans="1:7" ht="14.25" customHeight="1" x14ac:dyDescent="0.25">
      <c r="A52" s="64"/>
      <c r="B52" s="14"/>
      <c r="C52" s="64"/>
      <c r="D52" s="64"/>
      <c r="E52" s="64"/>
      <c r="F52" s="65"/>
      <c r="G52" s="64"/>
    </row>
    <row r="53" spans="1:7" ht="14.25" customHeight="1" x14ac:dyDescent="0.25">
      <c r="A53" s="64"/>
      <c r="B53" s="14"/>
      <c r="C53" s="64"/>
      <c r="D53" s="64"/>
      <c r="E53" s="64"/>
      <c r="F53" s="65"/>
      <c r="G53" s="64"/>
    </row>
    <row r="54" spans="1:7" ht="14.25" customHeight="1" x14ac:dyDescent="0.25">
      <c r="A54" s="64"/>
      <c r="B54" s="14"/>
      <c r="C54" s="64"/>
      <c r="D54" s="64"/>
      <c r="E54" s="64"/>
      <c r="F54" s="65"/>
      <c r="G54" s="64"/>
    </row>
    <row r="55" spans="1:7" ht="14.25" customHeight="1" x14ac:dyDescent="0.25">
      <c r="A55" s="64"/>
      <c r="B55" s="14"/>
      <c r="C55" s="64"/>
      <c r="D55" s="64"/>
      <c r="E55" s="64"/>
      <c r="F55" s="65"/>
      <c r="G55" s="64"/>
    </row>
    <row r="56" spans="1:7" ht="14.25" customHeight="1" x14ac:dyDescent="0.25">
      <c r="A56" s="64"/>
      <c r="B56" s="14"/>
      <c r="C56" s="64"/>
      <c r="D56" s="64"/>
      <c r="E56" s="64"/>
      <c r="F56" s="65"/>
      <c r="G56" s="64"/>
    </row>
    <row r="57" spans="1:7" ht="14.25" customHeight="1" x14ac:dyDescent="0.25">
      <c r="A57" s="64"/>
      <c r="B57" s="14"/>
      <c r="C57" s="64"/>
      <c r="D57" s="64"/>
      <c r="E57" s="64"/>
      <c r="F57" s="64"/>
      <c r="G57" s="64"/>
    </row>
    <row r="58" spans="1:7" ht="14.25" customHeight="1" x14ac:dyDescent="0.25">
      <c r="A58" s="9"/>
      <c r="B58" s="55"/>
      <c r="C58" s="9"/>
      <c r="D58" s="9"/>
      <c r="E58" s="9"/>
      <c r="F58" s="9"/>
      <c r="G58" s="9"/>
    </row>
    <row r="59" spans="1:7" ht="14.25" customHeight="1" x14ac:dyDescent="0.25">
      <c r="A59" s="13"/>
      <c r="B59" s="14"/>
      <c r="C59" s="13"/>
      <c r="D59" s="13"/>
      <c r="E59" s="13"/>
      <c r="F59" s="13"/>
      <c r="G59" s="13"/>
    </row>
    <row r="60" spans="1:7" ht="14.25" customHeight="1" x14ac:dyDescent="0.25">
      <c r="A60" s="9"/>
      <c r="B60" s="55"/>
      <c r="C60" s="9"/>
      <c r="D60" s="9"/>
      <c r="E60" s="9"/>
      <c r="F60" s="9"/>
      <c r="G60" s="9"/>
    </row>
    <row r="61" spans="1:7" ht="14.25" customHeight="1" x14ac:dyDescent="0.25">
      <c r="A61" s="64"/>
      <c r="B61" s="14"/>
      <c r="C61" s="64"/>
      <c r="D61" s="64"/>
      <c r="E61" s="64"/>
      <c r="F61" s="64"/>
      <c r="G61" s="64"/>
    </row>
    <row r="62" spans="1:7" ht="14.25" customHeight="1" x14ac:dyDescent="0.25">
      <c r="A62" s="64"/>
      <c r="B62" s="14"/>
      <c r="C62" s="64"/>
      <c r="D62" s="64"/>
      <c r="E62" s="64"/>
      <c r="F62" s="64"/>
      <c r="G62" s="64"/>
    </row>
    <row r="63" spans="1:7" ht="14.25" customHeight="1" x14ac:dyDescent="0.25">
      <c r="A63" s="64"/>
      <c r="B63" s="14"/>
      <c r="C63" s="64"/>
      <c r="D63" s="64"/>
      <c r="E63" s="64"/>
      <c r="F63" s="64"/>
      <c r="G63" s="64"/>
    </row>
    <row r="64" spans="1:7" ht="14.25" customHeight="1" x14ac:dyDescent="0.25">
      <c r="A64" s="64"/>
      <c r="B64" s="14"/>
      <c r="C64" s="64"/>
      <c r="D64" s="64"/>
      <c r="E64" s="64"/>
      <c r="F64" s="64"/>
      <c r="G64" s="64"/>
    </row>
    <row r="65" spans="1:7" ht="14.25" customHeight="1" x14ac:dyDescent="0.25">
      <c r="A65" s="64"/>
      <c r="B65" s="14"/>
      <c r="C65" s="64"/>
      <c r="D65" s="64"/>
      <c r="E65" s="64"/>
      <c r="F65" s="64"/>
      <c r="G65" s="64"/>
    </row>
    <row r="66" spans="1:7" ht="14.25" customHeight="1" x14ac:dyDescent="0.25">
      <c r="A66" s="9"/>
      <c r="B66" s="55"/>
      <c r="C66" s="9"/>
      <c r="D66" s="9"/>
      <c r="E66" s="9"/>
      <c r="F66" s="9"/>
      <c r="G66" s="9"/>
    </row>
    <row r="67" spans="1:7" ht="14.25" customHeight="1" x14ac:dyDescent="0.25">
      <c r="A67" s="13"/>
      <c r="B67" s="14"/>
      <c r="C67" s="13"/>
      <c r="D67" s="13"/>
      <c r="E67" s="13"/>
      <c r="F67" s="13"/>
      <c r="G67" s="13"/>
    </row>
    <row r="68" spans="1:7" ht="14.25" customHeight="1" x14ac:dyDescent="0.25">
      <c r="A68" s="9"/>
      <c r="B68" s="55"/>
      <c r="C68" s="9"/>
      <c r="D68" s="9"/>
      <c r="E68" s="9"/>
      <c r="F68" s="9"/>
      <c r="G68" s="9"/>
    </row>
    <row r="69" spans="1:7" ht="14.25" customHeight="1" x14ac:dyDescent="0.25">
      <c r="A69" s="64"/>
      <c r="B69" s="14"/>
      <c r="C69" s="64"/>
      <c r="D69" s="64"/>
      <c r="E69" s="64"/>
      <c r="F69" s="64"/>
      <c r="G69" s="64"/>
    </row>
    <row r="70" spans="1:7" ht="14.25" customHeight="1" x14ac:dyDescent="0.25">
      <c r="A70" s="64"/>
      <c r="B70" s="14"/>
      <c r="C70" s="64"/>
      <c r="D70" s="64"/>
      <c r="E70" s="64"/>
      <c r="F70" s="64"/>
      <c r="G70" s="64"/>
    </row>
    <row r="71" spans="1:7" ht="14.25" customHeight="1" x14ac:dyDescent="0.25">
      <c r="A71" s="64"/>
      <c r="B71" s="14"/>
      <c r="C71" s="64"/>
      <c r="D71" s="64"/>
      <c r="E71" s="64"/>
      <c r="F71" s="64"/>
      <c r="G71" s="64"/>
    </row>
    <row r="72" spans="1:7" ht="14.25" customHeight="1" x14ac:dyDescent="0.25">
      <c r="A72" s="64"/>
      <c r="B72" s="14"/>
      <c r="C72" s="64"/>
      <c r="D72" s="64"/>
      <c r="E72" s="64"/>
      <c r="F72" s="64"/>
      <c r="G72" s="64"/>
    </row>
    <row r="73" spans="1:7" ht="14.25" customHeight="1" x14ac:dyDescent="0.25">
      <c r="A73" s="64"/>
      <c r="B73" s="14"/>
      <c r="C73" s="64"/>
      <c r="D73" s="64"/>
      <c r="E73" s="64"/>
      <c r="F73" s="64"/>
      <c r="G73" s="64"/>
    </row>
    <row r="74" spans="1:7" ht="14.25" customHeight="1" x14ac:dyDescent="0.25">
      <c r="A74" s="9"/>
      <c r="B74" s="55"/>
      <c r="C74" s="9"/>
      <c r="D74" s="9"/>
      <c r="E74" s="9"/>
      <c r="F74" s="9"/>
      <c r="G74" s="9"/>
    </row>
    <row r="75" spans="1:7" ht="14.25" customHeight="1" x14ac:dyDescent="0.25">
      <c r="A75" s="13"/>
      <c r="B75" s="14"/>
      <c r="C75" s="13"/>
      <c r="D75" s="13"/>
      <c r="E75" s="13"/>
      <c r="F75" s="13"/>
      <c r="G75" s="13"/>
    </row>
    <row r="76" spans="1:7" ht="14.25" customHeight="1" x14ac:dyDescent="0.25">
      <c r="A76" s="9"/>
      <c r="B76" s="55"/>
      <c r="C76" s="9"/>
      <c r="D76" s="9"/>
      <c r="E76" s="9"/>
      <c r="F76" s="9"/>
      <c r="G76" s="9"/>
    </row>
    <row r="77" spans="1:7" ht="14.25" customHeight="1" x14ac:dyDescent="0.25"/>
  </sheetData>
  <pageMargins left="1.1417322834645669" right="1.1417322834645669" top="0.6692913385826772" bottom="0.51181102362204722" header="0.51181102362204722" footer="0.51181102362204722"/>
  <pageSetup paperSize="5" scale="70" firstPageNumber="7" orientation="landscape" useFirstPageNumber="1" r:id="rId1"/>
  <headerFooter alignWithMargins="0">
    <oddFooter>&amp;C&amp;"Times New Roman,Normal"&amp;P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7"/>
  <sheetViews>
    <sheetView showGridLines="0" zoomScaleNormal="100" workbookViewId="0">
      <selection activeCell="C20" sqref="C20"/>
    </sheetView>
  </sheetViews>
  <sheetFormatPr defaultRowHeight="15.75" customHeight="1" x14ac:dyDescent="0.25"/>
  <cols>
    <col min="1" max="1" width="55.7109375" style="11" customWidth="1"/>
    <col min="2" max="2" width="5.42578125" style="3" customWidth="1"/>
    <col min="3" max="3" width="2.7109375" style="11" customWidth="1"/>
    <col min="4" max="4" width="11.85546875" style="11" customWidth="1"/>
    <col min="5" max="5" width="2.7109375" style="11" customWidth="1"/>
    <col min="6" max="6" width="13.85546875" style="30" bestFit="1" customWidth="1"/>
    <col min="7" max="37" width="9.140625" style="11" customWidth="1"/>
    <col min="38" max="16384" width="9.140625" style="11"/>
  </cols>
  <sheetData>
    <row r="1" spans="1:6" s="2" customFormat="1" ht="20.25" x14ac:dyDescent="0.25">
      <c r="A1" s="1" t="s">
        <v>0</v>
      </c>
      <c r="B1" s="1"/>
      <c r="C1" s="1"/>
      <c r="D1" s="1"/>
      <c r="E1" s="1"/>
    </row>
    <row r="2" spans="1:6" s="2" customFormat="1" ht="14.25" customHeight="1" x14ac:dyDescent="0.25">
      <c r="B2" s="3"/>
    </row>
    <row r="3" spans="1:6" s="2" customFormat="1" ht="23.25" x14ac:dyDescent="0.25">
      <c r="A3" s="4" t="s">
        <v>49</v>
      </c>
      <c r="B3" s="66"/>
      <c r="C3" s="66"/>
      <c r="D3" s="66"/>
      <c r="E3" s="66"/>
    </row>
    <row r="4" spans="1:6" s="2" customFormat="1" ht="14.25" customHeight="1" x14ac:dyDescent="0.25">
      <c r="B4" s="3"/>
    </row>
    <row r="5" spans="1:6" s="2" customFormat="1" ht="15.75" customHeight="1" x14ac:dyDescent="0.25">
      <c r="A5" s="67" t="s">
        <v>50</v>
      </c>
      <c r="B5" s="68"/>
      <c r="C5" s="68"/>
      <c r="D5" s="68"/>
      <c r="E5" s="68"/>
    </row>
    <row r="6" spans="1:6" s="2" customFormat="1" ht="14.25" customHeight="1" x14ac:dyDescent="0.25">
      <c r="B6" s="3"/>
    </row>
    <row r="7" spans="1:6" s="2" customFormat="1" ht="15.75" customHeight="1" x14ac:dyDescent="0.25">
      <c r="A7" s="5" t="s">
        <v>1</v>
      </c>
      <c r="B7" s="6"/>
      <c r="C7" s="6"/>
      <c r="D7" s="6"/>
      <c r="E7" s="6"/>
    </row>
    <row r="8" spans="1:6" s="2" customFormat="1" ht="14.25" customHeight="1" x14ac:dyDescent="0.25">
      <c r="B8" s="3"/>
    </row>
    <row r="9" spans="1:6" s="2" customFormat="1" ht="14.25" customHeight="1" x14ac:dyDescent="0.25">
      <c r="B9" s="3"/>
    </row>
    <row r="10" spans="1:6" s="2" customFormat="1" ht="14.25" customHeight="1" x14ac:dyDescent="0.25">
      <c r="A10" s="57"/>
      <c r="B10" s="69" t="s">
        <v>3</v>
      </c>
      <c r="C10" s="57"/>
      <c r="D10" s="69">
        <v>43100</v>
      </c>
      <c r="E10" s="57"/>
      <c r="F10" s="69">
        <v>42735</v>
      </c>
    </row>
    <row r="11" spans="1:6" ht="14.25" customHeight="1" x14ac:dyDescent="0.25">
      <c r="A11" s="13"/>
      <c r="B11" s="14"/>
      <c r="C11" s="13"/>
      <c r="D11" s="13"/>
      <c r="E11" s="13"/>
    </row>
    <row r="12" spans="1:6" ht="14.25" customHeight="1" x14ac:dyDescent="0.25">
      <c r="A12" s="13"/>
      <c r="B12" s="14"/>
      <c r="C12" s="13"/>
      <c r="D12" s="13"/>
      <c r="E12" s="13"/>
    </row>
    <row r="13" spans="1:6" ht="14.25" customHeight="1" x14ac:dyDescent="0.25">
      <c r="A13" s="15" t="s">
        <v>51</v>
      </c>
      <c r="B13" s="16">
        <v>21</v>
      </c>
      <c r="C13" s="15"/>
      <c r="D13" s="19">
        <v>140646</v>
      </c>
      <c r="E13" s="15"/>
      <c r="F13" s="70">
        <v>95587</v>
      </c>
    </row>
    <row r="14" spans="1:6" ht="14.25" customHeight="1" x14ac:dyDescent="0.25">
      <c r="A14" s="15" t="s">
        <v>52</v>
      </c>
      <c r="B14" s="16">
        <v>22</v>
      </c>
      <c r="C14" s="15"/>
      <c r="D14" s="51">
        <f>-SUM('[1]CUSTO DRE 2017'!J22)/1000</f>
        <v>-102920.86602</v>
      </c>
      <c r="E14" s="15"/>
      <c r="F14" s="71">
        <v>-69344</v>
      </c>
    </row>
    <row r="15" spans="1:6" ht="14.25" customHeight="1" x14ac:dyDescent="0.25">
      <c r="A15" s="15"/>
      <c r="B15" s="16"/>
      <c r="C15" s="15"/>
      <c r="D15" s="19"/>
      <c r="E15" s="15"/>
      <c r="F15" s="70"/>
    </row>
    <row r="16" spans="1:6" ht="14.25" customHeight="1" x14ac:dyDescent="0.25">
      <c r="A16" s="15" t="s">
        <v>53</v>
      </c>
      <c r="B16" s="16"/>
      <c r="C16" s="15"/>
      <c r="D16" s="19">
        <f>SUM(D13:D14)</f>
        <v>37725.133979999999</v>
      </c>
      <c r="E16" s="15"/>
      <c r="F16" s="70">
        <f>SUM(F13:F14)</f>
        <v>26243</v>
      </c>
    </row>
    <row r="17" spans="1:11" ht="14.25" customHeight="1" x14ac:dyDescent="0.25">
      <c r="A17" s="15"/>
      <c r="B17" s="16"/>
      <c r="C17" s="15"/>
      <c r="D17" s="19"/>
      <c r="E17" s="15"/>
      <c r="F17" s="70"/>
    </row>
    <row r="18" spans="1:11" ht="14.25" customHeight="1" x14ac:dyDescent="0.25">
      <c r="A18" s="12" t="s">
        <v>54</v>
      </c>
      <c r="B18" s="16"/>
      <c r="C18" s="15"/>
      <c r="D18" s="19"/>
      <c r="E18" s="15"/>
      <c r="F18" s="70"/>
    </row>
    <row r="19" spans="1:11" ht="14.25" customHeight="1" x14ac:dyDescent="0.25">
      <c r="A19" s="15" t="s">
        <v>55</v>
      </c>
      <c r="B19" s="16">
        <v>22</v>
      </c>
      <c r="C19" s="15"/>
      <c r="D19" s="19">
        <f>-SUM('[1]CONTA 6 - 2017'!G1439)/1000</f>
        <v>-919.64979000000005</v>
      </c>
      <c r="E19" s="15"/>
      <c r="F19" s="70">
        <f>-SUM('[1]DESPESAS 2016'!G1268)/1000</f>
        <v>-1100.8951299999999</v>
      </c>
    </row>
    <row r="20" spans="1:11" ht="14.25" customHeight="1" x14ac:dyDescent="0.25">
      <c r="A20" s="15" t="s">
        <v>56</v>
      </c>
      <c r="B20" s="16">
        <v>22</v>
      </c>
      <c r="C20" s="15"/>
      <c r="D20" s="19">
        <f>-SUM('[1]CUSTO DRE 2017'!J38)/1000</f>
        <v>-30029.89086</v>
      </c>
      <c r="E20" s="15"/>
      <c r="F20" s="70">
        <f>-SUM('[1]DESPESAS 2016'!G1443+'[1]DESPESAS 2016'!G2142+'[1]DESPESAS 2016'!G2188+'[1]DESPESAS 2016'!G2319+'[1]DESPESAS 2016'!G2462+'[1]DESPESAS 2016'!G2466+'[1]DESPESAS 2016'!G2474+'[1]DESPESAS 2016'!G2494+'[1]DESPESAS 2016'!G2502+'[1]DESPESAS 2016'!G2520)/1000+30</f>
        <v>-25817.501029999999</v>
      </c>
      <c r="G20" s="72"/>
      <c r="H20" s="72"/>
      <c r="I20" s="72"/>
      <c r="J20" s="72"/>
      <c r="K20" s="72"/>
    </row>
    <row r="21" spans="1:11" ht="14.25" customHeight="1" x14ac:dyDescent="0.25">
      <c r="A21" s="15" t="s">
        <v>57</v>
      </c>
      <c r="B21" s="16">
        <v>22</v>
      </c>
      <c r="C21" s="15"/>
      <c r="D21" s="51">
        <f>-SUM('[1]CUSTO DRE 2017'!J47)/1000</f>
        <v>-4240.9356500000004</v>
      </c>
      <c r="E21" s="15"/>
      <c r="F21" s="71">
        <f>-SUM('[1]DESPESAS 2016'!G311+'[1]DESPESAS 2016'!G1363+'[1]DESPESAS 2016'!G2587+'[1]DESPESAS 2016'!G2684+'[1]DESPESAS 2016'!G2688+'[1]DESPESAS 2016'!G2694+'[1]DESPESAS 2016'!G2700)/1000</f>
        <v>-4182.7459499999995</v>
      </c>
      <c r="G21" s="72"/>
      <c r="H21" s="72"/>
      <c r="I21" s="72"/>
    </row>
    <row r="22" spans="1:11" ht="14.25" customHeight="1" x14ac:dyDescent="0.25">
      <c r="A22" s="15"/>
      <c r="B22" s="16"/>
      <c r="C22" s="15"/>
      <c r="D22" s="19"/>
      <c r="E22" s="15"/>
      <c r="F22" s="70"/>
    </row>
    <row r="23" spans="1:11" ht="14.25" customHeight="1" x14ac:dyDescent="0.25">
      <c r="A23" s="15"/>
      <c r="B23" s="16"/>
      <c r="C23" s="15"/>
      <c r="D23" s="51">
        <f>SUM(D19:D21)-1</f>
        <v>-35191.476300000002</v>
      </c>
      <c r="E23" s="15"/>
      <c r="F23" s="71">
        <f>SUM(F19:F21)-1</f>
        <v>-31102.142110000001</v>
      </c>
    </row>
    <row r="24" spans="1:11" ht="14.25" customHeight="1" x14ac:dyDescent="0.25">
      <c r="A24" s="15"/>
      <c r="B24" s="16"/>
      <c r="C24" s="15"/>
      <c r="D24" s="19"/>
      <c r="E24" s="15"/>
      <c r="F24" s="70"/>
    </row>
    <row r="25" spans="1:11" ht="14.25" customHeight="1" x14ac:dyDescent="0.25">
      <c r="A25" s="12" t="s">
        <v>58</v>
      </c>
      <c r="B25" s="17"/>
      <c r="C25" s="12"/>
      <c r="D25" s="19">
        <f>SUM(D16+D23)</f>
        <v>2533.6576799999966</v>
      </c>
      <c r="E25" s="12"/>
      <c r="F25" s="70">
        <f>SUM(F16+F23)</f>
        <v>-4859.1421100000007</v>
      </c>
    </row>
    <row r="26" spans="1:11" ht="14.25" customHeight="1" x14ac:dyDescent="0.25">
      <c r="A26" s="15"/>
      <c r="B26" s="16"/>
      <c r="C26" s="15"/>
      <c r="D26" s="19"/>
      <c r="E26" s="15"/>
      <c r="F26" s="70"/>
    </row>
    <row r="27" spans="1:11" ht="14.25" customHeight="1" x14ac:dyDescent="0.25">
      <c r="A27" s="12" t="s">
        <v>59</v>
      </c>
      <c r="B27" s="17"/>
      <c r="C27" s="12"/>
      <c r="D27" s="73"/>
      <c r="E27" s="12"/>
      <c r="F27" s="70"/>
    </row>
    <row r="28" spans="1:11" ht="14.25" customHeight="1" x14ac:dyDescent="0.25">
      <c r="A28" s="15" t="s">
        <v>60</v>
      </c>
      <c r="B28" s="16">
        <v>24</v>
      </c>
      <c r="C28" s="15"/>
      <c r="D28" s="19">
        <v>14467</v>
      </c>
      <c r="E28" s="15"/>
      <c r="F28" s="70">
        <v>20963</v>
      </c>
    </row>
    <row r="29" spans="1:11" ht="14.25" customHeight="1" x14ac:dyDescent="0.25">
      <c r="A29" s="15" t="s">
        <v>61</v>
      </c>
      <c r="B29" s="16">
        <v>24</v>
      </c>
      <c r="C29" s="15"/>
      <c r="D29" s="51">
        <v>-3654</v>
      </c>
      <c r="E29" s="15"/>
      <c r="F29" s="71">
        <f>-SUM('[1]DESPESAS 2016'!G2836-'[1]DESPESAS 2016'!G2934)/1000</f>
        <v>-11303.32518</v>
      </c>
      <c r="G29" s="11" t="s">
        <v>62</v>
      </c>
    </row>
    <row r="30" spans="1:11" ht="14.25" customHeight="1" x14ac:dyDescent="0.25">
      <c r="A30" s="15"/>
      <c r="B30" s="16"/>
      <c r="C30" s="15"/>
      <c r="D30" s="19"/>
      <c r="E30" s="15"/>
      <c r="F30" s="70"/>
    </row>
    <row r="31" spans="1:11" ht="14.25" customHeight="1" x14ac:dyDescent="0.25">
      <c r="A31" s="15"/>
      <c r="B31" s="16"/>
      <c r="C31" s="15"/>
      <c r="D31" s="19">
        <f>SUM(D28:D29)</f>
        <v>10813</v>
      </c>
      <c r="E31" s="15"/>
      <c r="F31" s="70">
        <f>SUM(F28:F29)</f>
        <v>9659.6748200000002</v>
      </c>
    </row>
    <row r="32" spans="1:11" ht="14.25" customHeight="1" x14ac:dyDescent="0.25">
      <c r="A32" s="15"/>
      <c r="B32" s="16"/>
      <c r="C32" s="15"/>
      <c r="D32" s="19"/>
      <c r="E32" s="15"/>
      <c r="F32" s="70"/>
    </row>
    <row r="33" spans="1:6" ht="14.25" customHeight="1" x14ac:dyDescent="0.25">
      <c r="A33" s="15"/>
      <c r="B33" s="16"/>
      <c r="C33" s="15"/>
      <c r="D33" s="19"/>
      <c r="E33" s="15"/>
      <c r="F33" s="70"/>
    </row>
    <row r="34" spans="1:6" ht="14.25" customHeight="1" thickBot="1" x14ac:dyDescent="0.3">
      <c r="A34" s="11" t="s">
        <v>63</v>
      </c>
      <c r="D34" s="53">
        <f>SUM(D25+D31)</f>
        <v>13346.657679999997</v>
      </c>
      <c r="F34" s="74">
        <f>SUM(F25+F31)</f>
        <v>4800.5327099999995</v>
      </c>
    </row>
    <row r="35" spans="1:6" ht="14.25" customHeight="1" thickTop="1" x14ac:dyDescent="0.25">
      <c r="D35" s="21"/>
      <c r="F35" s="70"/>
    </row>
    <row r="36" spans="1:6" ht="14.25" customHeight="1" x14ac:dyDescent="0.25">
      <c r="A36" s="11" t="s">
        <v>64</v>
      </c>
      <c r="B36" s="16">
        <v>25</v>
      </c>
      <c r="D36" s="21">
        <v>-2838</v>
      </c>
      <c r="F36" s="70">
        <f>-SUM('[1]DESPESAS 2016'!G2969)/1000</f>
        <v>-2515.72829</v>
      </c>
    </row>
    <row r="37" spans="1:6" ht="14.25" customHeight="1" x14ac:dyDescent="0.25">
      <c r="A37" s="11" t="s">
        <v>65</v>
      </c>
      <c r="B37" s="16">
        <v>25</v>
      </c>
      <c r="D37" s="21">
        <v>-8303</v>
      </c>
      <c r="F37" s="75">
        <f>-SUM('[1]DESPESAS 2016'!G2971)/1000</f>
        <v>-6780.8787499999999</v>
      </c>
    </row>
    <row r="38" spans="1:6" ht="14.25" customHeight="1" thickBot="1" x14ac:dyDescent="0.3">
      <c r="A38" s="11" t="s">
        <v>66</v>
      </c>
      <c r="B38" s="16"/>
      <c r="D38" s="53">
        <v>4192</v>
      </c>
      <c r="F38" s="74">
        <f>SUM(6537393)/1000</f>
        <v>6537.393</v>
      </c>
    </row>
    <row r="39" spans="1:6" ht="14.25" customHeight="1" thickTop="1" x14ac:dyDescent="0.25">
      <c r="D39" s="21"/>
      <c r="F39" s="70"/>
    </row>
    <row r="40" spans="1:6" ht="14.25" customHeight="1" x14ac:dyDescent="0.25">
      <c r="A40" s="76" t="s">
        <v>67</v>
      </c>
      <c r="B40" s="77"/>
      <c r="C40" s="76"/>
      <c r="D40" s="21">
        <f>SUM(D34+D36+D37+D38)</f>
        <v>6397.6576799999966</v>
      </c>
      <c r="E40" s="76"/>
      <c r="F40" s="70">
        <f>SUM(F34+F36+F37+F38)</f>
        <v>2041.3186699999997</v>
      </c>
    </row>
    <row r="41" spans="1:6" ht="14.25" customHeight="1" x14ac:dyDescent="0.25">
      <c r="A41" s="76"/>
      <c r="B41" s="77"/>
      <c r="C41" s="76"/>
      <c r="D41" s="78"/>
      <c r="E41" s="76"/>
      <c r="F41" s="70"/>
    </row>
    <row r="42" spans="1:6" ht="14.25" customHeight="1" x14ac:dyDescent="0.25">
      <c r="D42" s="21"/>
      <c r="F42" s="70"/>
    </row>
    <row r="43" spans="1:6" ht="14.25" customHeight="1" x14ac:dyDescent="0.25">
      <c r="D43" s="21"/>
      <c r="F43" s="70"/>
    </row>
    <row r="44" spans="1:6" ht="14.25" customHeight="1" x14ac:dyDescent="0.25">
      <c r="A44" s="79" t="s">
        <v>47</v>
      </c>
      <c r="B44" s="80"/>
      <c r="C44" s="79"/>
      <c r="D44" s="57"/>
      <c r="E44" s="57"/>
    </row>
    <row r="45" spans="1:6" ht="14.25" customHeight="1" x14ac:dyDescent="0.25"/>
    <row r="46" spans="1:6" ht="14.25" customHeight="1" x14ac:dyDescent="0.25"/>
    <row r="47" spans="1:6" ht="14.25" customHeight="1" x14ac:dyDescent="0.25"/>
  </sheetData>
  <pageMargins left="1.1417322834645669" right="1.1417322834645669" top="0.6692913385826772" bottom="0.51181102362204722" header="0.51181102362204722" footer="0.51181102362204722"/>
  <pageSetup paperSize="9" scale="84" firstPageNumber="8" orientation="portrait" useFirstPageNumber="1" r:id="rId1"/>
  <headerFooter scaleWithDoc="0" alignWithMargins="0">
    <oddFooter>&amp;C&amp;"Times New Roman,Normal"&amp;P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5"/>
  <sheetViews>
    <sheetView showGridLines="0" workbookViewId="0">
      <selection activeCell="A28" sqref="A28"/>
    </sheetView>
  </sheetViews>
  <sheetFormatPr defaultRowHeight="15" x14ac:dyDescent="0.25"/>
  <cols>
    <col min="1" max="1" width="83.5703125" style="81" bestFit="1" customWidth="1"/>
    <col min="2" max="2" width="12.7109375" style="81" customWidth="1"/>
    <col min="3" max="3" width="2.5703125" style="81" customWidth="1"/>
    <col min="4" max="4" width="12" style="81" customWidth="1"/>
    <col min="5" max="5" width="2.85546875" style="82" customWidth="1"/>
    <col min="6" max="6" width="2.7109375" style="82" customWidth="1"/>
    <col min="7" max="16384" width="9.140625" style="84"/>
  </cols>
  <sheetData>
    <row r="1" spans="1:7" ht="14.25" customHeight="1" x14ac:dyDescent="0.25">
      <c r="G1" s="83"/>
    </row>
    <row r="2" spans="1:7" ht="18.75" x14ac:dyDescent="0.3">
      <c r="A2" s="85" t="s">
        <v>68</v>
      </c>
      <c r="B2" s="85"/>
      <c r="C2" s="85"/>
      <c r="D2" s="85"/>
      <c r="G2" s="83"/>
    </row>
    <row r="3" spans="1:7" ht="14.25" customHeight="1" x14ac:dyDescent="0.25">
      <c r="A3" s="86"/>
      <c r="B3" s="86"/>
      <c r="C3" s="86"/>
      <c r="D3" s="86"/>
      <c r="G3" s="83"/>
    </row>
    <row r="4" spans="1:7" ht="15.75" x14ac:dyDescent="0.25">
      <c r="A4" s="87" t="s">
        <v>50</v>
      </c>
      <c r="B4" s="87"/>
      <c r="C4" s="87"/>
      <c r="D4" s="87"/>
      <c r="G4" s="83"/>
    </row>
    <row r="5" spans="1:7" ht="14.25" customHeight="1" x14ac:dyDescent="0.25">
      <c r="A5" s="87"/>
      <c r="B5" s="87"/>
      <c r="C5" s="87"/>
      <c r="D5" s="87"/>
      <c r="G5" s="83"/>
    </row>
    <row r="6" spans="1:7" ht="15.75" x14ac:dyDescent="0.25">
      <c r="A6" s="88" t="s">
        <v>1</v>
      </c>
      <c r="B6" s="88"/>
      <c r="C6" s="88"/>
      <c r="D6" s="88"/>
      <c r="G6" s="83"/>
    </row>
    <row r="7" spans="1:7" ht="14.25" customHeight="1" x14ac:dyDescent="0.25">
      <c r="A7" s="82"/>
      <c r="B7" s="82"/>
      <c r="C7" s="82"/>
      <c r="D7" s="82"/>
      <c r="G7" s="83"/>
    </row>
    <row r="8" spans="1:7" ht="14.25" customHeight="1" x14ac:dyDescent="0.25">
      <c r="A8" s="82"/>
      <c r="B8" s="82"/>
      <c r="C8" s="82"/>
      <c r="D8" s="82"/>
      <c r="G8" s="83"/>
    </row>
    <row r="9" spans="1:7" ht="14.25" customHeight="1" x14ac:dyDescent="0.25">
      <c r="B9" s="10">
        <v>43100</v>
      </c>
      <c r="D9" s="10">
        <v>42735</v>
      </c>
      <c r="E9" s="89"/>
      <c r="G9" s="83"/>
    </row>
    <row r="10" spans="1:7" ht="14.25" customHeight="1" x14ac:dyDescent="0.25">
      <c r="E10" s="90"/>
      <c r="F10" s="91"/>
      <c r="G10" s="83"/>
    </row>
    <row r="11" spans="1:7" ht="14.25" customHeight="1" x14ac:dyDescent="0.25">
      <c r="E11" s="90"/>
      <c r="F11" s="90"/>
      <c r="G11" s="83"/>
    </row>
    <row r="12" spans="1:7" ht="14.25" customHeight="1" x14ac:dyDescent="0.25">
      <c r="A12" s="92" t="s">
        <v>69</v>
      </c>
      <c r="B12" s="93">
        <f>SUM([1]Resultado!D40)</f>
        <v>6397.6576799999966</v>
      </c>
      <c r="C12" s="92"/>
      <c r="D12" s="93">
        <f>SUM([1]Resultado!F40)</f>
        <v>2041.3186699999997</v>
      </c>
      <c r="F12" s="94"/>
      <c r="G12" s="83"/>
    </row>
    <row r="13" spans="1:7" ht="14.25" customHeight="1" x14ac:dyDescent="0.25">
      <c r="F13" s="94"/>
      <c r="G13" s="83"/>
    </row>
    <row r="14" spans="1:7" ht="14.25" customHeight="1" x14ac:dyDescent="0.25">
      <c r="A14" s="92" t="s">
        <v>70</v>
      </c>
      <c r="B14" s="92"/>
      <c r="C14" s="92"/>
      <c r="F14" s="94"/>
      <c r="G14" s="83"/>
    </row>
    <row r="15" spans="1:7" ht="14.25" customHeight="1" x14ac:dyDescent="0.25">
      <c r="A15" s="81" t="s">
        <v>71</v>
      </c>
      <c r="B15" s="95">
        <v>1319</v>
      </c>
      <c r="D15" s="95">
        <v>-183</v>
      </c>
      <c r="E15" s="96"/>
      <c r="F15" s="94"/>
      <c r="G15" s="83"/>
    </row>
    <row r="16" spans="1:7" ht="14.25" customHeight="1" x14ac:dyDescent="0.25">
      <c r="E16" s="96"/>
      <c r="F16" s="94"/>
      <c r="G16" s="83"/>
    </row>
    <row r="17" spans="1:7" ht="14.25" customHeight="1" thickBot="1" x14ac:dyDescent="0.3">
      <c r="A17" s="92" t="s">
        <v>72</v>
      </c>
      <c r="B17" s="97">
        <f>SUM(B12+B15)</f>
        <v>7716.6576799999966</v>
      </c>
      <c r="C17" s="92"/>
      <c r="D17" s="97">
        <f>SUM(D12:D15)</f>
        <v>1858.3186699999997</v>
      </c>
      <c r="F17" s="98"/>
      <c r="G17" s="83"/>
    </row>
    <row r="18" spans="1:7" ht="14.25" customHeight="1" thickTop="1" x14ac:dyDescent="0.25">
      <c r="A18" s="92"/>
      <c r="B18" s="92"/>
      <c r="C18" s="92"/>
      <c r="G18" s="83"/>
    </row>
    <row r="19" spans="1:7" ht="14.25" customHeight="1" x14ac:dyDescent="0.25">
      <c r="A19" s="92"/>
      <c r="B19" s="92"/>
      <c r="C19" s="92"/>
      <c r="D19" s="92"/>
      <c r="G19" s="83"/>
    </row>
    <row r="20" spans="1:7" ht="14.25" customHeight="1" x14ac:dyDescent="0.25">
      <c r="G20" s="83"/>
    </row>
    <row r="21" spans="1:7" ht="14.25" customHeight="1" x14ac:dyDescent="0.25">
      <c r="A21" s="81" t="s">
        <v>47</v>
      </c>
      <c r="E21" s="81"/>
      <c r="F21" s="81"/>
      <c r="G21" s="83"/>
    </row>
    <row r="22" spans="1:7" ht="14.25" customHeight="1" x14ac:dyDescent="0.25"/>
    <row r="23" spans="1:7" ht="14.25" customHeight="1" x14ac:dyDescent="0.25">
      <c r="E23" s="81"/>
      <c r="F23" s="81"/>
    </row>
    <row r="24" spans="1:7" ht="14.25" customHeight="1" x14ac:dyDescent="0.25">
      <c r="E24" s="81"/>
      <c r="F24" s="81"/>
    </row>
    <row r="25" spans="1:7" ht="14.25" customHeight="1" x14ac:dyDescent="0.25"/>
    <row r="26" spans="1:7" ht="14.25" customHeight="1" x14ac:dyDescent="0.25"/>
    <row r="27" spans="1:7" ht="14.25" customHeight="1" x14ac:dyDescent="0.25"/>
    <row r="28" spans="1:7" ht="14.25" customHeight="1" x14ac:dyDescent="0.25"/>
    <row r="29" spans="1:7" ht="14.25" customHeight="1" x14ac:dyDescent="0.25"/>
    <row r="30" spans="1:7" ht="14.25" customHeight="1" x14ac:dyDescent="0.25"/>
    <row r="31" spans="1:7" ht="14.25" customHeight="1" x14ac:dyDescent="0.25"/>
    <row r="32" spans="1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4"/>
  <sheetViews>
    <sheetView showGridLines="0" topLeftCell="A4" zoomScaleNormal="100" zoomScaleSheetLayoutView="100" workbookViewId="0">
      <selection activeCell="A31" sqref="A31"/>
    </sheetView>
  </sheetViews>
  <sheetFormatPr defaultRowHeight="15" x14ac:dyDescent="0.25"/>
  <cols>
    <col min="1" max="1" width="81.28515625" style="2" customWidth="1"/>
    <col min="2" max="2" width="11.140625" style="3" customWidth="1"/>
    <col min="3" max="3" width="2.28515625" style="3" customWidth="1"/>
    <col min="4" max="4" width="12.28515625" style="3" bestFit="1" customWidth="1"/>
    <col min="5" max="5" width="2.28515625" style="3" customWidth="1"/>
    <col min="6" max="6" width="9.28515625" style="3" customWidth="1"/>
    <col min="7" max="7" width="2.28515625" style="3" customWidth="1"/>
    <col min="8" max="8" width="16.7109375" style="3" hidden="1" customWidth="1"/>
    <col min="9" max="9" width="2.28515625" style="3" hidden="1" customWidth="1"/>
    <col min="10" max="10" width="13.28515625" style="3" customWidth="1"/>
    <col min="11" max="11" width="2.28515625" style="3" customWidth="1"/>
    <col min="12" max="12" width="11" style="3" customWidth="1"/>
    <col min="13" max="13" width="9.140625" style="2" customWidth="1"/>
    <col min="14" max="14" width="9.140625" style="101" hidden="1" customWidth="1"/>
    <col min="15" max="15" width="12" style="101" hidden="1" customWidth="1"/>
    <col min="16" max="19" width="0" style="101" hidden="1" customWidth="1"/>
    <col min="20" max="20" width="9.140625" style="101"/>
    <col min="21" max="16384" width="9.140625" style="2"/>
  </cols>
  <sheetData>
    <row r="1" spans="1:20" ht="20.25" x14ac:dyDescent="0.3">
      <c r="A1" s="1" t="s">
        <v>0</v>
      </c>
      <c r="B1" s="99"/>
      <c r="C1" s="99"/>
      <c r="D1" s="99"/>
      <c r="E1" s="100"/>
      <c r="F1" s="100"/>
    </row>
    <row r="2" spans="1:20" ht="14.25" customHeight="1" x14ac:dyDescent="0.25">
      <c r="C2" s="2"/>
    </row>
    <row r="3" spans="1:20" ht="23.25" x14ac:dyDescent="0.25">
      <c r="A3" s="4" t="s">
        <v>73</v>
      </c>
      <c r="B3" s="102"/>
      <c r="C3" s="102"/>
      <c r="D3" s="102"/>
      <c r="E3" s="2"/>
      <c r="F3" s="2"/>
    </row>
    <row r="4" spans="1:20" ht="14.25" customHeight="1" x14ac:dyDescent="0.25">
      <c r="C4" s="2"/>
    </row>
    <row r="5" spans="1:20" ht="16.5" x14ac:dyDescent="0.25">
      <c r="A5" s="67" t="s">
        <v>50</v>
      </c>
      <c r="B5" s="68"/>
      <c r="C5" s="68"/>
      <c r="D5" s="68"/>
      <c r="E5" s="2"/>
      <c r="F5" s="2"/>
    </row>
    <row r="6" spans="1:20" ht="14.25" customHeight="1" x14ac:dyDescent="0.25">
      <c r="C6" s="2"/>
    </row>
    <row r="7" spans="1:20" ht="15.75" x14ac:dyDescent="0.25">
      <c r="A7" s="5" t="s">
        <v>1</v>
      </c>
      <c r="B7" s="103"/>
      <c r="C7" s="103"/>
      <c r="D7" s="103"/>
      <c r="E7" s="2"/>
      <c r="F7" s="2"/>
    </row>
    <row r="8" spans="1:20" ht="14.25" customHeight="1" x14ac:dyDescent="0.25"/>
    <row r="9" spans="1:20" ht="14.25" customHeight="1" x14ac:dyDescent="0.25">
      <c r="D9" s="128" t="s">
        <v>74</v>
      </c>
      <c r="E9" s="128"/>
      <c r="F9" s="128"/>
    </row>
    <row r="10" spans="1:20" ht="45.75" customHeight="1" x14ac:dyDescent="0.25">
      <c r="A10" s="104"/>
      <c r="B10" s="105" t="s">
        <v>39</v>
      </c>
      <c r="C10" s="106"/>
      <c r="D10" s="105" t="s">
        <v>75</v>
      </c>
      <c r="E10" s="107"/>
      <c r="F10" s="105" t="s">
        <v>76</v>
      </c>
      <c r="G10" s="107"/>
      <c r="H10" s="105" t="s">
        <v>77</v>
      </c>
      <c r="I10" s="107"/>
      <c r="J10" s="105" t="s">
        <v>78</v>
      </c>
      <c r="K10" s="107"/>
      <c r="L10" s="108" t="s">
        <v>79</v>
      </c>
    </row>
    <row r="11" spans="1:20" ht="14.25" customHeight="1" x14ac:dyDescent="0.25">
      <c r="A11" s="109" t="s">
        <v>80</v>
      </c>
      <c r="B11" s="110">
        <v>158585</v>
      </c>
      <c r="C11" s="110"/>
      <c r="D11" s="111">
        <v>110172</v>
      </c>
      <c r="E11" s="111"/>
      <c r="F11" s="111">
        <v>6391</v>
      </c>
      <c r="G11" s="111"/>
      <c r="H11" s="111" t="s">
        <v>25</v>
      </c>
      <c r="I11" s="111"/>
      <c r="J11" s="111" t="s">
        <v>25</v>
      </c>
      <c r="K11" s="111"/>
      <c r="L11" s="111">
        <v>275148</v>
      </c>
      <c r="M11" s="112"/>
      <c r="N11" s="112"/>
      <c r="O11" s="112"/>
      <c r="P11" s="113"/>
      <c r="Q11" s="113"/>
      <c r="R11" s="113"/>
      <c r="S11" s="113"/>
      <c r="T11" s="2"/>
    </row>
    <row r="12" spans="1:20" ht="14.25" customHeight="1" x14ac:dyDescent="0.25">
      <c r="B12" s="36"/>
      <c r="C12" s="36"/>
      <c r="D12" s="114"/>
      <c r="E12" s="114"/>
      <c r="F12" s="115"/>
      <c r="G12" s="114"/>
      <c r="H12" s="114"/>
      <c r="I12" s="114"/>
      <c r="J12" s="114"/>
      <c r="K12" s="114"/>
      <c r="L12" s="116"/>
      <c r="M12" s="112"/>
      <c r="N12" s="112"/>
      <c r="O12" s="112"/>
      <c r="P12" s="112"/>
      <c r="Q12" s="112"/>
      <c r="T12" s="2"/>
    </row>
    <row r="13" spans="1:20" ht="14.25" customHeight="1" x14ac:dyDescent="0.25">
      <c r="A13" s="2" t="s">
        <v>81</v>
      </c>
      <c r="B13" s="36" t="s">
        <v>25</v>
      </c>
      <c r="C13" s="36"/>
      <c r="D13" s="114" t="s">
        <v>25</v>
      </c>
      <c r="E13" s="114"/>
      <c r="F13" s="36" t="s">
        <v>25</v>
      </c>
      <c r="G13" s="114"/>
      <c r="H13" s="114"/>
      <c r="I13" s="114"/>
      <c r="J13" s="36">
        <v>2041</v>
      </c>
      <c r="K13" s="114"/>
      <c r="L13" s="114">
        <v>2041</v>
      </c>
      <c r="M13" s="112"/>
      <c r="N13" s="112"/>
      <c r="O13" s="112"/>
      <c r="P13" s="112"/>
      <c r="Q13" s="112"/>
      <c r="T13" s="2"/>
    </row>
    <row r="14" spans="1:20" ht="14.25" customHeight="1" x14ac:dyDescent="0.25">
      <c r="A14" s="2" t="s">
        <v>82</v>
      </c>
      <c r="B14" s="36">
        <v>64365</v>
      </c>
      <c r="D14" s="117">
        <v>-64365</v>
      </c>
      <c r="E14" s="46"/>
      <c r="F14" s="36" t="s">
        <v>25</v>
      </c>
      <c r="G14" s="46"/>
      <c r="H14" s="46"/>
      <c r="I14" s="46"/>
      <c r="J14" s="36" t="s">
        <v>25</v>
      </c>
      <c r="L14" s="36" t="s">
        <v>25</v>
      </c>
      <c r="Q14" s="118"/>
      <c r="S14" s="118"/>
      <c r="T14" s="2"/>
    </row>
    <row r="15" spans="1:20" ht="14.25" customHeight="1" x14ac:dyDescent="0.25">
      <c r="A15" s="2" t="s">
        <v>83</v>
      </c>
      <c r="B15" s="36" t="s">
        <v>25</v>
      </c>
      <c r="D15" s="117">
        <v>203</v>
      </c>
      <c r="E15" s="46"/>
      <c r="F15" s="36" t="s">
        <v>25</v>
      </c>
      <c r="G15" s="46"/>
      <c r="H15" s="46"/>
      <c r="I15" s="46"/>
      <c r="J15" s="36">
        <v>-845</v>
      </c>
      <c r="L15" s="114">
        <v>-642</v>
      </c>
      <c r="O15" s="118"/>
      <c r="T15" s="2"/>
    </row>
    <row r="16" spans="1:20" x14ac:dyDescent="0.25">
      <c r="A16" s="2" t="s">
        <v>84</v>
      </c>
      <c r="B16" s="36" t="s">
        <v>25</v>
      </c>
      <c r="C16" s="114"/>
      <c r="D16" s="117">
        <v>-183</v>
      </c>
      <c r="E16" s="46"/>
      <c r="F16" s="36" t="s">
        <v>25</v>
      </c>
      <c r="G16" s="46"/>
      <c r="H16" s="46"/>
      <c r="I16" s="46"/>
      <c r="J16" s="36" t="s">
        <v>25</v>
      </c>
      <c r="K16" s="119"/>
      <c r="L16" s="114">
        <v>-183</v>
      </c>
      <c r="O16" s="118"/>
      <c r="T16" s="2"/>
    </row>
    <row r="17" spans="1:20" x14ac:dyDescent="0.25">
      <c r="A17" s="2" t="s">
        <v>77</v>
      </c>
      <c r="B17" s="36" t="s">
        <v>25</v>
      </c>
      <c r="D17" s="117">
        <v>-26000</v>
      </c>
      <c r="E17" s="46"/>
      <c r="F17" s="36" t="s">
        <v>25</v>
      </c>
      <c r="G17" s="46"/>
      <c r="H17" s="117">
        <v>26000</v>
      </c>
      <c r="I17" s="46"/>
      <c r="J17" s="36" t="s">
        <v>25</v>
      </c>
      <c r="L17" s="114">
        <v>-26000</v>
      </c>
      <c r="O17" s="118"/>
      <c r="T17" s="2"/>
    </row>
    <row r="18" spans="1:20" x14ac:dyDescent="0.25">
      <c r="A18" s="2" t="s">
        <v>85</v>
      </c>
      <c r="B18" s="36" t="s">
        <v>25</v>
      </c>
      <c r="D18" s="117" t="s">
        <v>25</v>
      </c>
      <c r="E18" s="46"/>
      <c r="F18" s="36">
        <v>102</v>
      </c>
      <c r="G18" s="46"/>
      <c r="H18" s="46"/>
      <c r="I18" s="46"/>
      <c r="J18" s="36">
        <v>-102</v>
      </c>
      <c r="L18" s="114" t="s">
        <v>25</v>
      </c>
      <c r="O18" s="118"/>
      <c r="T18" s="2"/>
    </row>
    <row r="19" spans="1:20" x14ac:dyDescent="0.25">
      <c r="A19" s="2" t="s">
        <v>86</v>
      </c>
      <c r="B19" s="36" t="s">
        <v>25</v>
      </c>
      <c r="D19" s="117">
        <v>1094</v>
      </c>
      <c r="E19" s="46"/>
      <c r="F19" s="36" t="s">
        <v>25</v>
      </c>
      <c r="G19" s="46"/>
      <c r="H19" s="3" t="s">
        <v>25</v>
      </c>
      <c r="I19" s="46"/>
      <c r="J19" s="115">
        <v>-1094</v>
      </c>
      <c r="L19" s="114" t="s">
        <v>25</v>
      </c>
      <c r="T19" s="2"/>
    </row>
    <row r="20" spans="1:20" x14ac:dyDescent="0.25">
      <c r="A20" s="2" t="s">
        <v>87</v>
      </c>
      <c r="B20" s="36" t="s">
        <v>25</v>
      </c>
      <c r="D20" s="120">
        <v>1422</v>
      </c>
      <c r="E20" s="46"/>
      <c r="F20" s="36" t="s">
        <v>25</v>
      </c>
      <c r="G20" s="46"/>
      <c r="H20" s="121" t="s">
        <v>25</v>
      </c>
      <c r="I20" s="46"/>
      <c r="J20" s="120" t="s">
        <v>25</v>
      </c>
      <c r="L20" s="122">
        <v>1422</v>
      </c>
      <c r="T20" s="2"/>
    </row>
    <row r="21" spans="1:20" x14ac:dyDescent="0.25">
      <c r="A21" s="109" t="s">
        <v>88</v>
      </c>
      <c r="B21" s="123">
        <v>222950</v>
      </c>
      <c r="C21" s="2"/>
      <c r="D21" s="124">
        <v>22343</v>
      </c>
      <c r="E21" s="46"/>
      <c r="F21" s="124">
        <v>6494</v>
      </c>
      <c r="G21" s="46"/>
      <c r="H21" s="117" t="s">
        <v>25</v>
      </c>
      <c r="I21" s="46"/>
      <c r="J21" s="125" t="s">
        <v>25</v>
      </c>
      <c r="K21" s="2"/>
      <c r="L21" s="123">
        <v>251786</v>
      </c>
      <c r="N21" s="112" t="s">
        <v>89</v>
      </c>
      <c r="O21" s="112"/>
      <c r="P21" s="126">
        <v>222949.82833000002</v>
      </c>
      <c r="Q21" s="126">
        <v>6493</v>
      </c>
      <c r="R21" s="126">
        <v>22343</v>
      </c>
      <c r="S21" s="126">
        <v>251785.82833000002</v>
      </c>
      <c r="T21" s="2"/>
    </row>
    <row r="22" spans="1:20" x14ac:dyDescent="0.25">
      <c r="A22" s="2" t="s">
        <v>81</v>
      </c>
      <c r="B22" s="3" t="s">
        <v>25</v>
      </c>
      <c r="D22" s="36" t="s">
        <v>25</v>
      </c>
      <c r="F22" s="3" t="s">
        <v>25</v>
      </c>
      <c r="J22" s="36">
        <v>6397.6576799999966</v>
      </c>
      <c r="L22" s="36">
        <v>6397.6576799999966</v>
      </c>
    </row>
    <row r="23" spans="1:20" x14ac:dyDescent="0.25">
      <c r="A23" s="2" t="s">
        <v>84</v>
      </c>
      <c r="B23" s="3" t="s">
        <v>25</v>
      </c>
      <c r="D23" s="36">
        <v>1319</v>
      </c>
      <c r="F23" s="3" t="s">
        <v>25</v>
      </c>
      <c r="J23" s="3" t="s">
        <v>25</v>
      </c>
      <c r="L23" s="36">
        <v>1319</v>
      </c>
    </row>
    <row r="24" spans="1:20" x14ac:dyDescent="0.25">
      <c r="A24" s="2" t="s">
        <v>85</v>
      </c>
      <c r="B24" s="3" t="s">
        <v>25</v>
      </c>
      <c r="D24" s="36" t="s">
        <v>25</v>
      </c>
      <c r="F24" s="36">
        <v>320</v>
      </c>
      <c r="J24" s="36">
        <v>-320</v>
      </c>
      <c r="L24" s="3" t="s">
        <v>25</v>
      </c>
    </row>
    <row r="25" spans="1:20" x14ac:dyDescent="0.25">
      <c r="A25" s="2" t="s">
        <v>83</v>
      </c>
      <c r="B25" s="3" t="s">
        <v>25</v>
      </c>
      <c r="D25" s="36">
        <v>2126</v>
      </c>
      <c r="F25" s="3" t="s">
        <v>25</v>
      </c>
      <c r="J25" s="36">
        <v>-3646</v>
      </c>
      <c r="L25" s="36">
        <v>-1520</v>
      </c>
    </row>
    <row r="26" spans="1:20" x14ac:dyDescent="0.25">
      <c r="A26" s="2" t="s">
        <v>86</v>
      </c>
      <c r="B26" s="3" t="s">
        <v>25</v>
      </c>
      <c r="D26" s="36">
        <v>2432</v>
      </c>
      <c r="F26" s="3" t="s">
        <v>25</v>
      </c>
      <c r="J26" s="36">
        <v>-2432</v>
      </c>
      <c r="L26" s="3" t="s">
        <v>25</v>
      </c>
    </row>
    <row r="27" spans="1:20" x14ac:dyDescent="0.25">
      <c r="A27" s="2" t="s">
        <v>87</v>
      </c>
      <c r="B27" s="3" t="s">
        <v>25</v>
      </c>
      <c r="D27" s="114">
        <v>360</v>
      </c>
      <c r="F27" s="3" t="s">
        <v>25</v>
      </c>
      <c r="J27" s="3" t="s">
        <v>25</v>
      </c>
      <c r="L27" s="114">
        <v>360</v>
      </c>
    </row>
    <row r="28" spans="1:20" x14ac:dyDescent="0.25">
      <c r="A28" s="109" t="s">
        <v>90</v>
      </c>
      <c r="B28" s="123">
        <v>222950</v>
      </c>
      <c r="D28" s="125">
        <v>28580</v>
      </c>
      <c r="F28" s="125">
        <v>6814</v>
      </c>
      <c r="J28" s="127" t="s">
        <v>25</v>
      </c>
      <c r="L28" s="124">
        <v>258343.65768</v>
      </c>
      <c r="N28" s="112" t="s">
        <v>89</v>
      </c>
      <c r="O28" s="112"/>
      <c r="P28" s="113">
        <v>222949.82833000002</v>
      </c>
      <c r="Q28" s="113">
        <v>6814</v>
      </c>
      <c r="R28" s="113">
        <v>28580</v>
      </c>
      <c r="S28" s="113">
        <v>258343.82833000002</v>
      </c>
    </row>
    <row r="29" spans="1:20" x14ac:dyDescent="0.25">
      <c r="D29" s="36"/>
    </row>
    <row r="30" spans="1:20" x14ac:dyDescent="0.25">
      <c r="D30" s="36"/>
      <c r="J30" s="36"/>
    </row>
    <row r="31" spans="1:20" x14ac:dyDescent="0.25">
      <c r="D31" s="36"/>
    </row>
    <row r="32" spans="1:20" x14ac:dyDescent="0.25">
      <c r="D32" s="36"/>
      <c r="J32" s="36"/>
    </row>
    <row r="33" spans="1:4" x14ac:dyDescent="0.25">
      <c r="A33" s="57" t="s">
        <v>47</v>
      </c>
      <c r="D33" s="36"/>
    </row>
    <row r="34" spans="1:4" x14ac:dyDescent="0.25">
      <c r="D34" s="36"/>
    </row>
  </sheetData>
  <mergeCells count="1">
    <mergeCell ref="D9:F9"/>
  </mergeCells>
  <pageMargins left="1.1417322834645669" right="1.1417322834645669" top="0.6692913385826772" bottom="0.51181102362204722" header="0.51181102362204722" footer="0.51181102362204722"/>
  <pageSetup paperSize="8" firstPageNumber="9" orientation="landscape" useFirstPageNumber="1" r:id="rId1"/>
  <headerFooter scaleWithDoc="0" alignWithMargins="0">
    <oddFooter>&amp;C&amp;"Times New Roman,Normal"&amp;P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71"/>
  <sheetViews>
    <sheetView showGridLines="0" topLeftCell="A43" zoomScaleNormal="100" workbookViewId="0">
      <selection activeCell="L22" sqref="L22"/>
    </sheetView>
  </sheetViews>
  <sheetFormatPr defaultRowHeight="15.75" customHeight="1" x14ac:dyDescent="0.25"/>
  <cols>
    <col min="1" max="1" width="79.42578125" style="11" customWidth="1"/>
    <col min="2" max="2" width="15.140625" style="11" customWidth="1"/>
    <col min="3" max="3" width="3.42578125" style="11" customWidth="1"/>
    <col min="4" max="4" width="13" style="11" customWidth="1"/>
    <col min="5" max="5" width="2.140625" style="11" customWidth="1"/>
    <col min="6" max="6" width="9.140625" style="11"/>
    <col min="7" max="11" width="0" style="11" hidden="1" customWidth="1"/>
    <col min="12" max="256" width="9.140625" style="11"/>
    <col min="257" max="257" width="79.42578125" style="11" customWidth="1"/>
    <col min="258" max="258" width="15.140625" style="11" customWidth="1"/>
    <col min="259" max="259" width="3.42578125" style="11" customWidth="1"/>
    <col min="260" max="260" width="13" style="11" customWidth="1"/>
    <col min="261" max="261" width="2.140625" style="11" customWidth="1"/>
    <col min="262" max="262" width="9.140625" style="11"/>
    <col min="263" max="267" width="0" style="11" hidden="1" customWidth="1"/>
    <col min="268" max="512" width="9.140625" style="11"/>
    <col min="513" max="513" width="79.42578125" style="11" customWidth="1"/>
    <col min="514" max="514" width="15.140625" style="11" customWidth="1"/>
    <col min="515" max="515" width="3.42578125" style="11" customWidth="1"/>
    <col min="516" max="516" width="13" style="11" customWidth="1"/>
    <col min="517" max="517" width="2.140625" style="11" customWidth="1"/>
    <col min="518" max="518" width="9.140625" style="11"/>
    <col min="519" max="523" width="0" style="11" hidden="1" customWidth="1"/>
    <col min="524" max="768" width="9.140625" style="11"/>
    <col min="769" max="769" width="79.42578125" style="11" customWidth="1"/>
    <col min="770" max="770" width="15.140625" style="11" customWidth="1"/>
    <col min="771" max="771" width="3.42578125" style="11" customWidth="1"/>
    <col min="772" max="772" width="13" style="11" customWidth="1"/>
    <col min="773" max="773" width="2.140625" style="11" customWidth="1"/>
    <col min="774" max="774" width="9.140625" style="11"/>
    <col min="775" max="779" width="0" style="11" hidden="1" customWidth="1"/>
    <col min="780" max="1024" width="9.140625" style="11"/>
    <col min="1025" max="1025" width="79.42578125" style="11" customWidth="1"/>
    <col min="1026" max="1026" width="15.140625" style="11" customWidth="1"/>
    <col min="1027" max="1027" width="3.42578125" style="11" customWidth="1"/>
    <col min="1028" max="1028" width="13" style="11" customWidth="1"/>
    <col min="1029" max="1029" width="2.140625" style="11" customWidth="1"/>
    <col min="1030" max="1030" width="9.140625" style="11"/>
    <col min="1031" max="1035" width="0" style="11" hidden="1" customWidth="1"/>
    <col min="1036" max="1280" width="9.140625" style="11"/>
    <col min="1281" max="1281" width="79.42578125" style="11" customWidth="1"/>
    <col min="1282" max="1282" width="15.140625" style="11" customWidth="1"/>
    <col min="1283" max="1283" width="3.42578125" style="11" customWidth="1"/>
    <col min="1284" max="1284" width="13" style="11" customWidth="1"/>
    <col min="1285" max="1285" width="2.140625" style="11" customWidth="1"/>
    <col min="1286" max="1286" width="9.140625" style="11"/>
    <col min="1287" max="1291" width="0" style="11" hidden="1" customWidth="1"/>
    <col min="1292" max="1536" width="9.140625" style="11"/>
    <col min="1537" max="1537" width="79.42578125" style="11" customWidth="1"/>
    <col min="1538" max="1538" width="15.140625" style="11" customWidth="1"/>
    <col min="1539" max="1539" width="3.42578125" style="11" customWidth="1"/>
    <col min="1540" max="1540" width="13" style="11" customWidth="1"/>
    <col min="1541" max="1541" width="2.140625" style="11" customWidth="1"/>
    <col min="1542" max="1542" width="9.140625" style="11"/>
    <col min="1543" max="1547" width="0" style="11" hidden="1" customWidth="1"/>
    <col min="1548" max="1792" width="9.140625" style="11"/>
    <col min="1793" max="1793" width="79.42578125" style="11" customWidth="1"/>
    <col min="1794" max="1794" width="15.140625" style="11" customWidth="1"/>
    <col min="1795" max="1795" width="3.42578125" style="11" customWidth="1"/>
    <col min="1796" max="1796" width="13" style="11" customWidth="1"/>
    <col min="1797" max="1797" width="2.140625" style="11" customWidth="1"/>
    <col min="1798" max="1798" width="9.140625" style="11"/>
    <col min="1799" max="1803" width="0" style="11" hidden="1" customWidth="1"/>
    <col min="1804" max="2048" width="9.140625" style="11"/>
    <col min="2049" max="2049" width="79.42578125" style="11" customWidth="1"/>
    <col min="2050" max="2050" width="15.140625" style="11" customWidth="1"/>
    <col min="2051" max="2051" width="3.42578125" style="11" customWidth="1"/>
    <col min="2052" max="2052" width="13" style="11" customWidth="1"/>
    <col min="2053" max="2053" width="2.140625" style="11" customWidth="1"/>
    <col min="2054" max="2054" width="9.140625" style="11"/>
    <col min="2055" max="2059" width="0" style="11" hidden="1" customWidth="1"/>
    <col min="2060" max="2304" width="9.140625" style="11"/>
    <col min="2305" max="2305" width="79.42578125" style="11" customWidth="1"/>
    <col min="2306" max="2306" width="15.140625" style="11" customWidth="1"/>
    <col min="2307" max="2307" width="3.42578125" style="11" customWidth="1"/>
    <col min="2308" max="2308" width="13" style="11" customWidth="1"/>
    <col min="2309" max="2309" width="2.140625" style="11" customWidth="1"/>
    <col min="2310" max="2310" width="9.140625" style="11"/>
    <col min="2311" max="2315" width="0" style="11" hidden="1" customWidth="1"/>
    <col min="2316" max="2560" width="9.140625" style="11"/>
    <col min="2561" max="2561" width="79.42578125" style="11" customWidth="1"/>
    <col min="2562" max="2562" width="15.140625" style="11" customWidth="1"/>
    <col min="2563" max="2563" width="3.42578125" style="11" customWidth="1"/>
    <col min="2564" max="2564" width="13" style="11" customWidth="1"/>
    <col min="2565" max="2565" width="2.140625" style="11" customWidth="1"/>
    <col min="2566" max="2566" width="9.140625" style="11"/>
    <col min="2567" max="2571" width="0" style="11" hidden="1" customWidth="1"/>
    <col min="2572" max="2816" width="9.140625" style="11"/>
    <col min="2817" max="2817" width="79.42578125" style="11" customWidth="1"/>
    <col min="2818" max="2818" width="15.140625" style="11" customWidth="1"/>
    <col min="2819" max="2819" width="3.42578125" style="11" customWidth="1"/>
    <col min="2820" max="2820" width="13" style="11" customWidth="1"/>
    <col min="2821" max="2821" width="2.140625" style="11" customWidth="1"/>
    <col min="2822" max="2822" width="9.140625" style="11"/>
    <col min="2823" max="2827" width="0" style="11" hidden="1" customWidth="1"/>
    <col min="2828" max="3072" width="9.140625" style="11"/>
    <col min="3073" max="3073" width="79.42578125" style="11" customWidth="1"/>
    <col min="3074" max="3074" width="15.140625" style="11" customWidth="1"/>
    <col min="3075" max="3075" width="3.42578125" style="11" customWidth="1"/>
    <col min="3076" max="3076" width="13" style="11" customWidth="1"/>
    <col min="3077" max="3077" width="2.140625" style="11" customWidth="1"/>
    <col min="3078" max="3078" width="9.140625" style="11"/>
    <col min="3079" max="3083" width="0" style="11" hidden="1" customWidth="1"/>
    <col min="3084" max="3328" width="9.140625" style="11"/>
    <col min="3329" max="3329" width="79.42578125" style="11" customWidth="1"/>
    <col min="3330" max="3330" width="15.140625" style="11" customWidth="1"/>
    <col min="3331" max="3331" width="3.42578125" style="11" customWidth="1"/>
    <col min="3332" max="3332" width="13" style="11" customWidth="1"/>
    <col min="3333" max="3333" width="2.140625" style="11" customWidth="1"/>
    <col min="3334" max="3334" width="9.140625" style="11"/>
    <col min="3335" max="3339" width="0" style="11" hidden="1" customWidth="1"/>
    <col min="3340" max="3584" width="9.140625" style="11"/>
    <col min="3585" max="3585" width="79.42578125" style="11" customWidth="1"/>
    <col min="3586" max="3586" width="15.140625" style="11" customWidth="1"/>
    <col min="3587" max="3587" width="3.42578125" style="11" customWidth="1"/>
    <col min="3588" max="3588" width="13" style="11" customWidth="1"/>
    <col min="3589" max="3589" width="2.140625" style="11" customWidth="1"/>
    <col min="3590" max="3590" width="9.140625" style="11"/>
    <col min="3591" max="3595" width="0" style="11" hidden="1" customWidth="1"/>
    <col min="3596" max="3840" width="9.140625" style="11"/>
    <col min="3841" max="3841" width="79.42578125" style="11" customWidth="1"/>
    <col min="3842" max="3842" width="15.140625" style="11" customWidth="1"/>
    <col min="3843" max="3843" width="3.42578125" style="11" customWidth="1"/>
    <col min="3844" max="3844" width="13" style="11" customWidth="1"/>
    <col min="3845" max="3845" width="2.140625" style="11" customWidth="1"/>
    <col min="3846" max="3846" width="9.140625" style="11"/>
    <col min="3847" max="3851" width="0" style="11" hidden="1" customWidth="1"/>
    <col min="3852" max="4096" width="9.140625" style="11"/>
    <col min="4097" max="4097" width="79.42578125" style="11" customWidth="1"/>
    <col min="4098" max="4098" width="15.140625" style="11" customWidth="1"/>
    <col min="4099" max="4099" width="3.42578125" style="11" customWidth="1"/>
    <col min="4100" max="4100" width="13" style="11" customWidth="1"/>
    <col min="4101" max="4101" width="2.140625" style="11" customWidth="1"/>
    <col min="4102" max="4102" width="9.140625" style="11"/>
    <col min="4103" max="4107" width="0" style="11" hidden="1" customWidth="1"/>
    <col min="4108" max="4352" width="9.140625" style="11"/>
    <col min="4353" max="4353" width="79.42578125" style="11" customWidth="1"/>
    <col min="4354" max="4354" width="15.140625" style="11" customWidth="1"/>
    <col min="4355" max="4355" width="3.42578125" style="11" customWidth="1"/>
    <col min="4356" max="4356" width="13" style="11" customWidth="1"/>
    <col min="4357" max="4357" width="2.140625" style="11" customWidth="1"/>
    <col min="4358" max="4358" width="9.140625" style="11"/>
    <col min="4359" max="4363" width="0" style="11" hidden="1" customWidth="1"/>
    <col min="4364" max="4608" width="9.140625" style="11"/>
    <col min="4609" max="4609" width="79.42578125" style="11" customWidth="1"/>
    <col min="4610" max="4610" width="15.140625" style="11" customWidth="1"/>
    <col min="4611" max="4611" width="3.42578125" style="11" customWidth="1"/>
    <col min="4612" max="4612" width="13" style="11" customWidth="1"/>
    <col min="4613" max="4613" width="2.140625" style="11" customWidth="1"/>
    <col min="4614" max="4614" width="9.140625" style="11"/>
    <col min="4615" max="4619" width="0" style="11" hidden="1" customWidth="1"/>
    <col min="4620" max="4864" width="9.140625" style="11"/>
    <col min="4865" max="4865" width="79.42578125" style="11" customWidth="1"/>
    <col min="4866" max="4866" width="15.140625" style="11" customWidth="1"/>
    <col min="4867" max="4867" width="3.42578125" style="11" customWidth="1"/>
    <col min="4868" max="4868" width="13" style="11" customWidth="1"/>
    <col min="4869" max="4869" width="2.140625" style="11" customWidth="1"/>
    <col min="4870" max="4870" width="9.140625" style="11"/>
    <col min="4871" max="4875" width="0" style="11" hidden="1" customWidth="1"/>
    <col min="4876" max="5120" width="9.140625" style="11"/>
    <col min="5121" max="5121" width="79.42578125" style="11" customWidth="1"/>
    <col min="5122" max="5122" width="15.140625" style="11" customWidth="1"/>
    <col min="5123" max="5123" width="3.42578125" style="11" customWidth="1"/>
    <col min="5124" max="5124" width="13" style="11" customWidth="1"/>
    <col min="5125" max="5125" width="2.140625" style="11" customWidth="1"/>
    <col min="5126" max="5126" width="9.140625" style="11"/>
    <col min="5127" max="5131" width="0" style="11" hidden="1" customWidth="1"/>
    <col min="5132" max="5376" width="9.140625" style="11"/>
    <col min="5377" max="5377" width="79.42578125" style="11" customWidth="1"/>
    <col min="5378" max="5378" width="15.140625" style="11" customWidth="1"/>
    <col min="5379" max="5379" width="3.42578125" style="11" customWidth="1"/>
    <col min="5380" max="5380" width="13" style="11" customWidth="1"/>
    <col min="5381" max="5381" width="2.140625" style="11" customWidth="1"/>
    <col min="5382" max="5382" width="9.140625" style="11"/>
    <col min="5383" max="5387" width="0" style="11" hidden="1" customWidth="1"/>
    <col min="5388" max="5632" width="9.140625" style="11"/>
    <col min="5633" max="5633" width="79.42578125" style="11" customWidth="1"/>
    <col min="5634" max="5634" width="15.140625" style="11" customWidth="1"/>
    <col min="5635" max="5635" width="3.42578125" style="11" customWidth="1"/>
    <col min="5636" max="5636" width="13" style="11" customWidth="1"/>
    <col min="5637" max="5637" width="2.140625" style="11" customWidth="1"/>
    <col min="5638" max="5638" width="9.140625" style="11"/>
    <col min="5639" max="5643" width="0" style="11" hidden="1" customWidth="1"/>
    <col min="5644" max="5888" width="9.140625" style="11"/>
    <col min="5889" max="5889" width="79.42578125" style="11" customWidth="1"/>
    <col min="5890" max="5890" width="15.140625" style="11" customWidth="1"/>
    <col min="5891" max="5891" width="3.42578125" style="11" customWidth="1"/>
    <col min="5892" max="5892" width="13" style="11" customWidth="1"/>
    <col min="5893" max="5893" width="2.140625" style="11" customWidth="1"/>
    <col min="5894" max="5894" width="9.140625" style="11"/>
    <col min="5895" max="5899" width="0" style="11" hidden="1" customWidth="1"/>
    <col min="5900" max="6144" width="9.140625" style="11"/>
    <col min="6145" max="6145" width="79.42578125" style="11" customWidth="1"/>
    <col min="6146" max="6146" width="15.140625" style="11" customWidth="1"/>
    <col min="6147" max="6147" width="3.42578125" style="11" customWidth="1"/>
    <col min="6148" max="6148" width="13" style="11" customWidth="1"/>
    <col min="6149" max="6149" width="2.140625" style="11" customWidth="1"/>
    <col min="6150" max="6150" width="9.140625" style="11"/>
    <col min="6151" max="6155" width="0" style="11" hidden="1" customWidth="1"/>
    <col min="6156" max="6400" width="9.140625" style="11"/>
    <col min="6401" max="6401" width="79.42578125" style="11" customWidth="1"/>
    <col min="6402" max="6402" width="15.140625" style="11" customWidth="1"/>
    <col min="6403" max="6403" width="3.42578125" style="11" customWidth="1"/>
    <col min="6404" max="6404" width="13" style="11" customWidth="1"/>
    <col min="6405" max="6405" width="2.140625" style="11" customWidth="1"/>
    <col min="6406" max="6406" width="9.140625" style="11"/>
    <col min="6407" max="6411" width="0" style="11" hidden="1" customWidth="1"/>
    <col min="6412" max="6656" width="9.140625" style="11"/>
    <col min="6657" max="6657" width="79.42578125" style="11" customWidth="1"/>
    <col min="6658" max="6658" width="15.140625" style="11" customWidth="1"/>
    <col min="6659" max="6659" width="3.42578125" style="11" customWidth="1"/>
    <col min="6660" max="6660" width="13" style="11" customWidth="1"/>
    <col min="6661" max="6661" width="2.140625" style="11" customWidth="1"/>
    <col min="6662" max="6662" width="9.140625" style="11"/>
    <col min="6663" max="6667" width="0" style="11" hidden="1" customWidth="1"/>
    <col min="6668" max="6912" width="9.140625" style="11"/>
    <col min="6913" max="6913" width="79.42578125" style="11" customWidth="1"/>
    <col min="6914" max="6914" width="15.140625" style="11" customWidth="1"/>
    <col min="6915" max="6915" width="3.42578125" style="11" customWidth="1"/>
    <col min="6916" max="6916" width="13" style="11" customWidth="1"/>
    <col min="6917" max="6917" width="2.140625" style="11" customWidth="1"/>
    <col min="6918" max="6918" width="9.140625" style="11"/>
    <col min="6919" max="6923" width="0" style="11" hidden="1" customWidth="1"/>
    <col min="6924" max="7168" width="9.140625" style="11"/>
    <col min="7169" max="7169" width="79.42578125" style="11" customWidth="1"/>
    <col min="7170" max="7170" width="15.140625" style="11" customWidth="1"/>
    <col min="7171" max="7171" width="3.42578125" style="11" customWidth="1"/>
    <col min="7172" max="7172" width="13" style="11" customWidth="1"/>
    <col min="7173" max="7173" width="2.140625" style="11" customWidth="1"/>
    <col min="7174" max="7174" width="9.140625" style="11"/>
    <col min="7175" max="7179" width="0" style="11" hidden="1" customWidth="1"/>
    <col min="7180" max="7424" width="9.140625" style="11"/>
    <col min="7425" max="7425" width="79.42578125" style="11" customWidth="1"/>
    <col min="7426" max="7426" width="15.140625" style="11" customWidth="1"/>
    <col min="7427" max="7427" width="3.42578125" style="11" customWidth="1"/>
    <col min="7428" max="7428" width="13" style="11" customWidth="1"/>
    <col min="7429" max="7429" width="2.140625" style="11" customWidth="1"/>
    <col min="7430" max="7430" width="9.140625" style="11"/>
    <col min="7431" max="7435" width="0" style="11" hidden="1" customWidth="1"/>
    <col min="7436" max="7680" width="9.140625" style="11"/>
    <col min="7681" max="7681" width="79.42578125" style="11" customWidth="1"/>
    <col min="7682" max="7682" width="15.140625" style="11" customWidth="1"/>
    <col min="7683" max="7683" width="3.42578125" style="11" customWidth="1"/>
    <col min="7684" max="7684" width="13" style="11" customWidth="1"/>
    <col min="7685" max="7685" width="2.140625" style="11" customWidth="1"/>
    <col min="7686" max="7686" width="9.140625" style="11"/>
    <col min="7687" max="7691" width="0" style="11" hidden="1" customWidth="1"/>
    <col min="7692" max="7936" width="9.140625" style="11"/>
    <col min="7937" max="7937" width="79.42578125" style="11" customWidth="1"/>
    <col min="7938" max="7938" width="15.140625" style="11" customWidth="1"/>
    <col min="7939" max="7939" width="3.42578125" style="11" customWidth="1"/>
    <col min="7940" max="7940" width="13" style="11" customWidth="1"/>
    <col min="7941" max="7941" width="2.140625" style="11" customWidth="1"/>
    <col min="7942" max="7942" width="9.140625" style="11"/>
    <col min="7943" max="7947" width="0" style="11" hidden="1" customWidth="1"/>
    <col min="7948" max="8192" width="9.140625" style="11"/>
    <col min="8193" max="8193" width="79.42578125" style="11" customWidth="1"/>
    <col min="8194" max="8194" width="15.140625" style="11" customWidth="1"/>
    <col min="8195" max="8195" width="3.42578125" style="11" customWidth="1"/>
    <col min="8196" max="8196" width="13" style="11" customWidth="1"/>
    <col min="8197" max="8197" width="2.140625" style="11" customWidth="1"/>
    <col min="8198" max="8198" width="9.140625" style="11"/>
    <col min="8199" max="8203" width="0" style="11" hidden="1" customWidth="1"/>
    <col min="8204" max="8448" width="9.140625" style="11"/>
    <col min="8449" max="8449" width="79.42578125" style="11" customWidth="1"/>
    <col min="8450" max="8450" width="15.140625" style="11" customWidth="1"/>
    <col min="8451" max="8451" width="3.42578125" style="11" customWidth="1"/>
    <col min="8452" max="8452" width="13" style="11" customWidth="1"/>
    <col min="8453" max="8453" width="2.140625" style="11" customWidth="1"/>
    <col min="8454" max="8454" width="9.140625" style="11"/>
    <col min="8455" max="8459" width="0" style="11" hidden="1" customWidth="1"/>
    <col min="8460" max="8704" width="9.140625" style="11"/>
    <col min="8705" max="8705" width="79.42578125" style="11" customWidth="1"/>
    <col min="8706" max="8706" width="15.140625" style="11" customWidth="1"/>
    <col min="8707" max="8707" width="3.42578125" style="11" customWidth="1"/>
    <col min="8708" max="8708" width="13" style="11" customWidth="1"/>
    <col min="8709" max="8709" width="2.140625" style="11" customWidth="1"/>
    <col min="8710" max="8710" width="9.140625" style="11"/>
    <col min="8711" max="8715" width="0" style="11" hidden="1" customWidth="1"/>
    <col min="8716" max="8960" width="9.140625" style="11"/>
    <col min="8961" max="8961" width="79.42578125" style="11" customWidth="1"/>
    <col min="8962" max="8962" width="15.140625" style="11" customWidth="1"/>
    <col min="8963" max="8963" width="3.42578125" style="11" customWidth="1"/>
    <col min="8964" max="8964" width="13" style="11" customWidth="1"/>
    <col min="8965" max="8965" width="2.140625" style="11" customWidth="1"/>
    <col min="8966" max="8966" width="9.140625" style="11"/>
    <col min="8967" max="8971" width="0" style="11" hidden="1" customWidth="1"/>
    <col min="8972" max="9216" width="9.140625" style="11"/>
    <col min="9217" max="9217" width="79.42578125" style="11" customWidth="1"/>
    <col min="9218" max="9218" width="15.140625" style="11" customWidth="1"/>
    <col min="9219" max="9219" width="3.42578125" style="11" customWidth="1"/>
    <col min="9220" max="9220" width="13" style="11" customWidth="1"/>
    <col min="9221" max="9221" width="2.140625" style="11" customWidth="1"/>
    <col min="9222" max="9222" width="9.140625" style="11"/>
    <col min="9223" max="9227" width="0" style="11" hidden="1" customWidth="1"/>
    <col min="9228" max="9472" width="9.140625" style="11"/>
    <col min="9473" max="9473" width="79.42578125" style="11" customWidth="1"/>
    <col min="9474" max="9474" width="15.140625" style="11" customWidth="1"/>
    <col min="9475" max="9475" width="3.42578125" style="11" customWidth="1"/>
    <col min="9476" max="9476" width="13" style="11" customWidth="1"/>
    <col min="9477" max="9477" width="2.140625" style="11" customWidth="1"/>
    <col min="9478" max="9478" width="9.140625" style="11"/>
    <col min="9479" max="9483" width="0" style="11" hidden="1" customWidth="1"/>
    <col min="9484" max="9728" width="9.140625" style="11"/>
    <col min="9729" max="9729" width="79.42578125" style="11" customWidth="1"/>
    <col min="9730" max="9730" width="15.140625" style="11" customWidth="1"/>
    <col min="9731" max="9731" width="3.42578125" style="11" customWidth="1"/>
    <col min="9732" max="9732" width="13" style="11" customWidth="1"/>
    <col min="9733" max="9733" width="2.140625" style="11" customWidth="1"/>
    <col min="9734" max="9734" width="9.140625" style="11"/>
    <col min="9735" max="9739" width="0" style="11" hidden="1" customWidth="1"/>
    <col min="9740" max="9984" width="9.140625" style="11"/>
    <col min="9985" max="9985" width="79.42578125" style="11" customWidth="1"/>
    <col min="9986" max="9986" width="15.140625" style="11" customWidth="1"/>
    <col min="9987" max="9987" width="3.42578125" style="11" customWidth="1"/>
    <col min="9988" max="9988" width="13" style="11" customWidth="1"/>
    <col min="9989" max="9989" width="2.140625" style="11" customWidth="1"/>
    <col min="9990" max="9990" width="9.140625" style="11"/>
    <col min="9991" max="9995" width="0" style="11" hidden="1" customWidth="1"/>
    <col min="9996" max="10240" width="9.140625" style="11"/>
    <col min="10241" max="10241" width="79.42578125" style="11" customWidth="1"/>
    <col min="10242" max="10242" width="15.140625" style="11" customWidth="1"/>
    <col min="10243" max="10243" width="3.42578125" style="11" customWidth="1"/>
    <col min="10244" max="10244" width="13" style="11" customWidth="1"/>
    <col min="10245" max="10245" width="2.140625" style="11" customWidth="1"/>
    <col min="10246" max="10246" width="9.140625" style="11"/>
    <col min="10247" max="10251" width="0" style="11" hidden="1" customWidth="1"/>
    <col min="10252" max="10496" width="9.140625" style="11"/>
    <col min="10497" max="10497" width="79.42578125" style="11" customWidth="1"/>
    <col min="10498" max="10498" width="15.140625" style="11" customWidth="1"/>
    <col min="10499" max="10499" width="3.42578125" style="11" customWidth="1"/>
    <col min="10500" max="10500" width="13" style="11" customWidth="1"/>
    <col min="10501" max="10501" width="2.140625" style="11" customWidth="1"/>
    <col min="10502" max="10502" width="9.140625" style="11"/>
    <col min="10503" max="10507" width="0" style="11" hidden="1" customWidth="1"/>
    <col min="10508" max="10752" width="9.140625" style="11"/>
    <col min="10753" max="10753" width="79.42578125" style="11" customWidth="1"/>
    <col min="10754" max="10754" width="15.140625" style="11" customWidth="1"/>
    <col min="10755" max="10755" width="3.42578125" style="11" customWidth="1"/>
    <col min="10756" max="10756" width="13" style="11" customWidth="1"/>
    <col min="10757" max="10757" width="2.140625" style="11" customWidth="1"/>
    <col min="10758" max="10758" width="9.140625" style="11"/>
    <col min="10759" max="10763" width="0" style="11" hidden="1" customWidth="1"/>
    <col min="10764" max="11008" width="9.140625" style="11"/>
    <col min="11009" max="11009" width="79.42578125" style="11" customWidth="1"/>
    <col min="11010" max="11010" width="15.140625" style="11" customWidth="1"/>
    <col min="11011" max="11011" width="3.42578125" style="11" customWidth="1"/>
    <col min="11012" max="11012" width="13" style="11" customWidth="1"/>
    <col min="11013" max="11013" width="2.140625" style="11" customWidth="1"/>
    <col min="11014" max="11014" width="9.140625" style="11"/>
    <col min="11015" max="11019" width="0" style="11" hidden="1" customWidth="1"/>
    <col min="11020" max="11264" width="9.140625" style="11"/>
    <col min="11265" max="11265" width="79.42578125" style="11" customWidth="1"/>
    <col min="11266" max="11266" width="15.140625" style="11" customWidth="1"/>
    <col min="11267" max="11267" width="3.42578125" style="11" customWidth="1"/>
    <col min="11268" max="11268" width="13" style="11" customWidth="1"/>
    <col min="11269" max="11269" width="2.140625" style="11" customWidth="1"/>
    <col min="11270" max="11270" width="9.140625" style="11"/>
    <col min="11271" max="11275" width="0" style="11" hidden="1" customWidth="1"/>
    <col min="11276" max="11520" width="9.140625" style="11"/>
    <col min="11521" max="11521" width="79.42578125" style="11" customWidth="1"/>
    <col min="11522" max="11522" width="15.140625" style="11" customWidth="1"/>
    <col min="11523" max="11523" width="3.42578125" style="11" customWidth="1"/>
    <col min="11524" max="11524" width="13" style="11" customWidth="1"/>
    <col min="11525" max="11525" width="2.140625" style="11" customWidth="1"/>
    <col min="11526" max="11526" width="9.140625" style="11"/>
    <col min="11527" max="11531" width="0" style="11" hidden="1" customWidth="1"/>
    <col min="11532" max="11776" width="9.140625" style="11"/>
    <col min="11777" max="11777" width="79.42578125" style="11" customWidth="1"/>
    <col min="11778" max="11778" width="15.140625" style="11" customWidth="1"/>
    <col min="11779" max="11779" width="3.42578125" style="11" customWidth="1"/>
    <col min="11780" max="11780" width="13" style="11" customWidth="1"/>
    <col min="11781" max="11781" width="2.140625" style="11" customWidth="1"/>
    <col min="11782" max="11782" width="9.140625" style="11"/>
    <col min="11783" max="11787" width="0" style="11" hidden="1" customWidth="1"/>
    <col min="11788" max="12032" width="9.140625" style="11"/>
    <col min="12033" max="12033" width="79.42578125" style="11" customWidth="1"/>
    <col min="12034" max="12034" width="15.140625" style="11" customWidth="1"/>
    <col min="12035" max="12035" width="3.42578125" style="11" customWidth="1"/>
    <col min="12036" max="12036" width="13" style="11" customWidth="1"/>
    <col min="12037" max="12037" width="2.140625" style="11" customWidth="1"/>
    <col min="12038" max="12038" width="9.140625" style="11"/>
    <col min="12039" max="12043" width="0" style="11" hidden="1" customWidth="1"/>
    <col min="12044" max="12288" width="9.140625" style="11"/>
    <col min="12289" max="12289" width="79.42578125" style="11" customWidth="1"/>
    <col min="12290" max="12290" width="15.140625" style="11" customWidth="1"/>
    <col min="12291" max="12291" width="3.42578125" style="11" customWidth="1"/>
    <col min="12292" max="12292" width="13" style="11" customWidth="1"/>
    <col min="12293" max="12293" width="2.140625" style="11" customWidth="1"/>
    <col min="12294" max="12294" width="9.140625" style="11"/>
    <col min="12295" max="12299" width="0" style="11" hidden="1" customWidth="1"/>
    <col min="12300" max="12544" width="9.140625" style="11"/>
    <col min="12545" max="12545" width="79.42578125" style="11" customWidth="1"/>
    <col min="12546" max="12546" width="15.140625" style="11" customWidth="1"/>
    <col min="12547" max="12547" width="3.42578125" style="11" customWidth="1"/>
    <col min="12548" max="12548" width="13" style="11" customWidth="1"/>
    <col min="12549" max="12549" width="2.140625" style="11" customWidth="1"/>
    <col min="12550" max="12550" width="9.140625" style="11"/>
    <col min="12551" max="12555" width="0" style="11" hidden="1" customWidth="1"/>
    <col min="12556" max="12800" width="9.140625" style="11"/>
    <col min="12801" max="12801" width="79.42578125" style="11" customWidth="1"/>
    <col min="12802" max="12802" width="15.140625" style="11" customWidth="1"/>
    <col min="12803" max="12803" width="3.42578125" style="11" customWidth="1"/>
    <col min="12804" max="12804" width="13" style="11" customWidth="1"/>
    <col min="12805" max="12805" width="2.140625" style="11" customWidth="1"/>
    <col min="12806" max="12806" width="9.140625" style="11"/>
    <col min="12807" max="12811" width="0" style="11" hidden="1" customWidth="1"/>
    <col min="12812" max="13056" width="9.140625" style="11"/>
    <col min="13057" max="13057" width="79.42578125" style="11" customWidth="1"/>
    <col min="13058" max="13058" width="15.140625" style="11" customWidth="1"/>
    <col min="13059" max="13059" width="3.42578125" style="11" customWidth="1"/>
    <col min="13060" max="13060" width="13" style="11" customWidth="1"/>
    <col min="13061" max="13061" width="2.140625" style="11" customWidth="1"/>
    <col min="13062" max="13062" width="9.140625" style="11"/>
    <col min="13063" max="13067" width="0" style="11" hidden="1" customWidth="1"/>
    <col min="13068" max="13312" width="9.140625" style="11"/>
    <col min="13313" max="13313" width="79.42578125" style="11" customWidth="1"/>
    <col min="13314" max="13314" width="15.140625" style="11" customWidth="1"/>
    <col min="13315" max="13315" width="3.42578125" style="11" customWidth="1"/>
    <col min="13316" max="13316" width="13" style="11" customWidth="1"/>
    <col min="13317" max="13317" width="2.140625" style="11" customWidth="1"/>
    <col min="13318" max="13318" width="9.140625" style="11"/>
    <col min="13319" max="13323" width="0" style="11" hidden="1" customWidth="1"/>
    <col min="13324" max="13568" width="9.140625" style="11"/>
    <col min="13569" max="13569" width="79.42578125" style="11" customWidth="1"/>
    <col min="13570" max="13570" width="15.140625" style="11" customWidth="1"/>
    <col min="13571" max="13571" width="3.42578125" style="11" customWidth="1"/>
    <col min="13572" max="13572" width="13" style="11" customWidth="1"/>
    <col min="13573" max="13573" width="2.140625" style="11" customWidth="1"/>
    <col min="13574" max="13574" width="9.140625" style="11"/>
    <col min="13575" max="13579" width="0" style="11" hidden="1" customWidth="1"/>
    <col min="13580" max="13824" width="9.140625" style="11"/>
    <col min="13825" max="13825" width="79.42578125" style="11" customWidth="1"/>
    <col min="13826" max="13826" width="15.140625" style="11" customWidth="1"/>
    <col min="13827" max="13827" width="3.42578125" style="11" customWidth="1"/>
    <col min="13828" max="13828" width="13" style="11" customWidth="1"/>
    <col min="13829" max="13829" width="2.140625" style="11" customWidth="1"/>
    <col min="13830" max="13830" width="9.140625" style="11"/>
    <col min="13831" max="13835" width="0" style="11" hidden="1" customWidth="1"/>
    <col min="13836" max="14080" width="9.140625" style="11"/>
    <col min="14081" max="14081" width="79.42578125" style="11" customWidth="1"/>
    <col min="14082" max="14082" width="15.140625" style="11" customWidth="1"/>
    <col min="14083" max="14083" width="3.42578125" style="11" customWidth="1"/>
    <col min="14084" max="14084" width="13" style="11" customWidth="1"/>
    <col min="14085" max="14085" width="2.140625" style="11" customWidth="1"/>
    <col min="14086" max="14086" width="9.140625" style="11"/>
    <col min="14087" max="14091" width="0" style="11" hidden="1" customWidth="1"/>
    <col min="14092" max="14336" width="9.140625" style="11"/>
    <col min="14337" max="14337" width="79.42578125" style="11" customWidth="1"/>
    <col min="14338" max="14338" width="15.140625" style="11" customWidth="1"/>
    <col min="14339" max="14339" width="3.42578125" style="11" customWidth="1"/>
    <col min="14340" max="14340" width="13" style="11" customWidth="1"/>
    <col min="14341" max="14341" width="2.140625" style="11" customWidth="1"/>
    <col min="14342" max="14342" width="9.140625" style="11"/>
    <col min="14343" max="14347" width="0" style="11" hidden="1" customWidth="1"/>
    <col min="14348" max="14592" width="9.140625" style="11"/>
    <col min="14593" max="14593" width="79.42578125" style="11" customWidth="1"/>
    <col min="14594" max="14594" width="15.140625" style="11" customWidth="1"/>
    <col min="14595" max="14595" width="3.42578125" style="11" customWidth="1"/>
    <col min="14596" max="14596" width="13" style="11" customWidth="1"/>
    <col min="14597" max="14597" width="2.140625" style="11" customWidth="1"/>
    <col min="14598" max="14598" width="9.140625" style="11"/>
    <col min="14599" max="14603" width="0" style="11" hidden="1" customWidth="1"/>
    <col min="14604" max="14848" width="9.140625" style="11"/>
    <col min="14849" max="14849" width="79.42578125" style="11" customWidth="1"/>
    <col min="14850" max="14850" width="15.140625" style="11" customWidth="1"/>
    <col min="14851" max="14851" width="3.42578125" style="11" customWidth="1"/>
    <col min="14852" max="14852" width="13" style="11" customWidth="1"/>
    <col min="14853" max="14853" width="2.140625" style="11" customWidth="1"/>
    <col min="14854" max="14854" width="9.140625" style="11"/>
    <col min="14855" max="14859" width="0" style="11" hidden="1" customWidth="1"/>
    <col min="14860" max="15104" width="9.140625" style="11"/>
    <col min="15105" max="15105" width="79.42578125" style="11" customWidth="1"/>
    <col min="15106" max="15106" width="15.140625" style="11" customWidth="1"/>
    <col min="15107" max="15107" width="3.42578125" style="11" customWidth="1"/>
    <col min="15108" max="15108" width="13" style="11" customWidth="1"/>
    <col min="15109" max="15109" width="2.140625" style="11" customWidth="1"/>
    <col min="15110" max="15110" width="9.140625" style="11"/>
    <col min="15111" max="15115" width="0" style="11" hidden="1" customWidth="1"/>
    <col min="15116" max="15360" width="9.140625" style="11"/>
    <col min="15361" max="15361" width="79.42578125" style="11" customWidth="1"/>
    <col min="15362" max="15362" width="15.140625" style="11" customWidth="1"/>
    <col min="15363" max="15363" width="3.42578125" style="11" customWidth="1"/>
    <col min="15364" max="15364" width="13" style="11" customWidth="1"/>
    <col min="15365" max="15365" width="2.140625" style="11" customWidth="1"/>
    <col min="15366" max="15366" width="9.140625" style="11"/>
    <col min="15367" max="15371" width="0" style="11" hidden="1" customWidth="1"/>
    <col min="15372" max="15616" width="9.140625" style="11"/>
    <col min="15617" max="15617" width="79.42578125" style="11" customWidth="1"/>
    <col min="15618" max="15618" width="15.140625" style="11" customWidth="1"/>
    <col min="15619" max="15619" width="3.42578125" style="11" customWidth="1"/>
    <col min="15620" max="15620" width="13" style="11" customWidth="1"/>
    <col min="15621" max="15621" width="2.140625" style="11" customWidth="1"/>
    <col min="15622" max="15622" width="9.140625" style="11"/>
    <col min="15623" max="15627" width="0" style="11" hidden="1" customWidth="1"/>
    <col min="15628" max="15872" width="9.140625" style="11"/>
    <col min="15873" max="15873" width="79.42578125" style="11" customWidth="1"/>
    <col min="15874" max="15874" width="15.140625" style="11" customWidth="1"/>
    <col min="15875" max="15875" width="3.42578125" style="11" customWidth="1"/>
    <col min="15876" max="15876" width="13" style="11" customWidth="1"/>
    <col min="15877" max="15877" width="2.140625" style="11" customWidth="1"/>
    <col min="15878" max="15878" width="9.140625" style="11"/>
    <col min="15879" max="15883" width="0" style="11" hidden="1" customWidth="1"/>
    <col min="15884" max="16128" width="9.140625" style="11"/>
    <col min="16129" max="16129" width="79.42578125" style="11" customWidth="1"/>
    <col min="16130" max="16130" width="15.140625" style="11" customWidth="1"/>
    <col min="16131" max="16131" width="3.42578125" style="11" customWidth="1"/>
    <col min="16132" max="16132" width="13" style="11" customWidth="1"/>
    <col min="16133" max="16133" width="2.140625" style="11" customWidth="1"/>
    <col min="16134" max="16134" width="9.140625" style="11"/>
    <col min="16135" max="16139" width="0" style="11" hidden="1" customWidth="1"/>
    <col min="16140" max="16384" width="9.140625" style="11"/>
  </cols>
  <sheetData>
    <row r="1" spans="1:6" s="2" customFormat="1" ht="20.25" x14ac:dyDescent="0.3">
      <c r="A1" s="1" t="s">
        <v>0</v>
      </c>
      <c r="B1" s="1"/>
      <c r="C1" s="1"/>
      <c r="D1" s="1"/>
      <c r="E1" s="100"/>
    </row>
    <row r="2" spans="1:6" s="2" customFormat="1" ht="14.25" customHeight="1" x14ac:dyDescent="0.25"/>
    <row r="3" spans="1:6" s="2" customFormat="1" ht="18.75" x14ac:dyDescent="0.25">
      <c r="A3" s="4" t="s">
        <v>123</v>
      </c>
      <c r="B3" s="4"/>
      <c r="C3" s="4"/>
      <c r="D3" s="4"/>
    </row>
    <row r="4" spans="1:6" s="2" customFormat="1" ht="14.25" customHeight="1" x14ac:dyDescent="0.25"/>
    <row r="5" spans="1:6" s="2" customFormat="1" ht="15.75" customHeight="1" x14ac:dyDescent="0.25">
      <c r="A5" s="67" t="s">
        <v>50</v>
      </c>
      <c r="B5" s="67"/>
      <c r="C5" s="67"/>
      <c r="D5" s="67"/>
    </row>
    <row r="6" spans="1:6" s="2" customFormat="1" ht="14.25" customHeight="1" x14ac:dyDescent="0.25"/>
    <row r="7" spans="1:6" s="2" customFormat="1" ht="14.25" customHeight="1" x14ac:dyDescent="0.25">
      <c r="A7" s="5" t="s">
        <v>1</v>
      </c>
      <c r="B7" s="5"/>
      <c r="C7" s="5"/>
      <c r="D7" s="5"/>
    </row>
    <row r="8" spans="1:6" s="2" customFormat="1" ht="14.25" customHeight="1" x14ac:dyDescent="0.25"/>
    <row r="9" spans="1:6" s="2" customFormat="1" ht="14.25" customHeight="1" x14ac:dyDescent="0.25"/>
    <row r="10" spans="1:6" ht="14.25" customHeight="1" x14ac:dyDescent="0.25">
      <c r="A10" s="148"/>
      <c r="B10" s="10">
        <v>43100</v>
      </c>
      <c r="C10" s="148"/>
      <c r="D10" s="10">
        <v>42735</v>
      </c>
    </row>
    <row r="11" spans="1:6" ht="14.25" customHeight="1" x14ac:dyDescent="0.25">
      <c r="A11" s="148"/>
      <c r="B11" s="148"/>
      <c r="C11" s="148"/>
    </row>
    <row r="12" spans="1:6" ht="14.25" customHeight="1" x14ac:dyDescent="0.25">
      <c r="A12" s="149" t="s">
        <v>124</v>
      </c>
      <c r="B12" s="149"/>
      <c r="C12" s="149"/>
    </row>
    <row r="13" spans="1:6" ht="14.25" customHeight="1" x14ac:dyDescent="0.25">
      <c r="A13" s="150"/>
      <c r="B13" s="150"/>
      <c r="C13" s="150"/>
    </row>
    <row r="14" spans="1:6" ht="14.25" customHeight="1" x14ac:dyDescent="0.25">
      <c r="A14" s="150" t="s">
        <v>151</v>
      </c>
      <c r="B14" s="151">
        <v>6398</v>
      </c>
      <c r="C14" s="150"/>
      <c r="D14" s="21">
        <f>SUM([1]Resultado!F40)</f>
        <v>2041.3186699999997</v>
      </c>
      <c r="F14" s="21"/>
    </row>
    <row r="15" spans="1:6" ht="14.25" customHeight="1" x14ac:dyDescent="0.25"/>
    <row r="16" spans="1:6" ht="14.25" customHeight="1" x14ac:dyDescent="0.25">
      <c r="A16" s="150" t="s">
        <v>94</v>
      </c>
      <c r="B16" s="151">
        <v>411</v>
      </c>
      <c r="C16" s="150"/>
      <c r="D16" s="21">
        <f>-SUM('[2]memoria DFC'!$H$13)</f>
        <v>634.33923999999934</v>
      </c>
    </row>
    <row r="17" spans="1:10" ht="14.25" customHeight="1" x14ac:dyDescent="0.25">
      <c r="A17" s="150" t="s">
        <v>125</v>
      </c>
      <c r="B17" s="172">
        <v>11497</v>
      </c>
      <c r="C17" s="150"/>
      <c r="D17" s="21">
        <f>-SUM('[2]MEMORIA IMOB'!$E$22+'[2]MEMORIA INTANGIVEL'!$F$7)</f>
        <v>10582.680179999999</v>
      </c>
      <c r="G17" s="21">
        <v>11202</v>
      </c>
      <c r="H17" s="11">
        <v>-11497</v>
      </c>
      <c r="I17" s="21">
        <f>SUM(G17:H17)</f>
        <v>-295</v>
      </c>
    </row>
    <row r="18" spans="1:10" ht="14.25" customHeight="1" x14ac:dyDescent="0.25">
      <c r="A18" s="150" t="s">
        <v>126</v>
      </c>
      <c r="B18" s="172">
        <v>2609</v>
      </c>
      <c r="C18" s="150"/>
      <c r="D18" s="21">
        <f>-SUM('[2]MEMORIA IMOB'!$F$11+'[2]MEMORIA IMOB'!$F$22+'[2]MEMORIA INTANGIVEL'!$D$7)-5</f>
        <v>570.27702999999997</v>
      </c>
      <c r="G18" s="11">
        <v>249</v>
      </c>
      <c r="H18" s="11">
        <v>-1217</v>
      </c>
      <c r="I18" s="21">
        <f>SUM(G18:H18)</f>
        <v>-968</v>
      </c>
    </row>
    <row r="19" spans="1:10" ht="14.25" customHeight="1" x14ac:dyDescent="0.25">
      <c r="A19" s="150" t="s">
        <v>36</v>
      </c>
      <c r="B19" s="173">
        <v>-4192</v>
      </c>
      <c r="C19" s="150"/>
      <c r="D19" s="21">
        <v>-6537</v>
      </c>
      <c r="I19" s="21">
        <f>SUM(G19:H19)</f>
        <v>0</v>
      </c>
    </row>
    <row r="20" spans="1:10" ht="14.25" customHeight="1" x14ac:dyDescent="0.25">
      <c r="A20" s="150" t="s">
        <v>152</v>
      </c>
      <c r="B20" s="152">
        <f>14886-331</f>
        <v>14555</v>
      </c>
      <c r="C20" s="150"/>
      <c r="D20" s="37">
        <f>SUM('[2]memoria DFC'!$P$31)</f>
        <v>2872.1508900000008</v>
      </c>
      <c r="E20" s="153"/>
      <c r="G20" s="11">
        <v>-1059</v>
      </c>
      <c r="H20" s="11">
        <v>-331</v>
      </c>
      <c r="I20" s="21">
        <f>SUM(G20:H20)</f>
        <v>-1390</v>
      </c>
    </row>
    <row r="21" spans="1:10" ht="14.25" customHeight="1" x14ac:dyDescent="0.25">
      <c r="A21" s="150"/>
      <c r="B21" s="150"/>
      <c r="C21" s="150"/>
      <c r="D21" s="21"/>
      <c r="E21" s="153"/>
    </row>
    <row r="22" spans="1:10" ht="14.25" customHeight="1" x14ac:dyDescent="0.25">
      <c r="A22" s="150"/>
      <c r="B22" s="151">
        <f>SUM(B14:B20)</f>
        <v>31278</v>
      </c>
      <c r="C22" s="150"/>
      <c r="D22" s="21">
        <f>SUM(D14:D20)-1</f>
        <v>10162.766009999998</v>
      </c>
    </row>
    <row r="23" spans="1:10" ht="14.25" customHeight="1" x14ac:dyDescent="0.25">
      <c r="A23" s="150"/>
      <c r="B23" s="150"/>
      <c r="C23" s="150"/>
      <c r="D23" s="21"/>
    </row>
    <row r="24" spans="1:10" ht="14.25" customHeight="1" x14ac:dyDescent="0.25">
      <c r="A24" s="149" t="s">
        <v>127</v>
      </c>
      <c r="B24" s="149"/>
      <c r="C24" s="149"/>
      <c r="D24" s="21"/>
    </row>
    <row r="25" spans="1:10" ht="14.25" customHeight="1" x14ac:dyDescent="0.25">
      <c r="A25" s="150" t="s">
        <v>128</v>
      </c>
      <c r="B25" s="151">
        <v>598</v>
      </c>
      <c r="C25" s="150"/>
      <c r="D25" s="21">
        <f>-SUM('[2]memoria DFC'!$H$12)</f>
        <v>875.5717799999984</v>
      </c>
      <c r="J25" s="11">
        <f>38749-26270</f>
        <v>12479</v>
      </c>
    </row>
    <row r="26" spans="1:10" ht="14.25" customHeight="1" x14ac:dyDescent="0.25">
      <c r="A26" s="150" t="s">
        <v>129</v>
      </c>
      <c r="B26" s="151">
        <v>-2238</v>
      </c>
      <c r="C26" s="150"/>
      <c r="D26" s="21">
        <f>-SUM('[2]memoria DFC'!$H$29)-1</f>
        <v>757.6252300000001</v>
      </c>
      <c r="J26" s="11">
        <f>14248-331-1439</f>
        <v>12478</v>
      </c>
    </row>
    <row r="27" spans="1:10" ht="14.25" customHeight="1" x14ac:dyDescent="0.25">
      <c r="A27" s="11" t="s">
        <v>130</v>
      </c>
      <c r="B27" s="21">
        <f>-SUM([3]Balanço!$H$17)+[3]Balanço!$P$14</f>
        <v>-17656.797500000001</v>
      </c>
      <c r="D27" s="21">
        <v>47153</v>
      </c>
    </row>
    <row r="28" spans="1:10" ht="14.25" customHeight="1" x14ac:dyDescent="0.25">
      <c r="A28" s="150" t="s">
        <v>131</v>
      </c>
      <c r="B28" s="151">
        <v>-392</v>
      </c>
      <c r="C28" s="150"/>
      <c r="D28" s="21">
        <v>-503</v>
      </c>
    </row>
    <row r="29" spans="1:10" ht="14.25" customHeight="1" x14ac:dyDescent="0.25">
      <c r="A29" s="150" t="s">
        <v>132</v>
      </c>
      <c r="B29" s="152">
        <v>1641</v>
      </c>
      <c r="C29" s="150"/>
      <c r="D29" s="37">
        <v>-6523</v>
      </c>
      <c r="E29" s="154"/>
    </row>
    <row r="30" spans="1:10" ht="14.25" customHeight="1" x14ac:dyDescent="0.25">
      <c r="A30" s="150"/>
      <c r="B30" s="150"/>
      <c r="C30" s="150"/>
      <c r="D30" s="21"/>
    </row>
    <row r="31" spans="1:10" ht="14.25" customHeight="1" x14ac:dyDescent="0.25">
      <c r="A31" s="150"/>
      <c r="B31" s="151">
        <f>SUM(B25:B29)</f>
        <v>-18047.797500000001</v>
      </c>
      <c r="C31" s="150"/>
      <c r="D31" s="21">
        <f>SUM(D25:D29)+1</f>
        <v>41761.197009999996</v>
      </c>
    </row>
    <row r="32" spans="1:10" ht="14.25" customHeight="1" x14ac:dyDescent="0.25">
      <c r="A32" s="150"/>
      <c r="B32" s="150"/>
      <c r="C32" s="150"/>
      <c r="D32" s="21"/>
    </row>
    <row r="33" spans="1:5" ht="14.25" customHeight="1" x14ac:dyDescent="0.25">
      <c r="A33" s="149" t="s">
        <v>133</v>
      </c>
      <c r="B33" s="149"/>
      <c r="C33" s="149"/>
      <c r="D33" s="21"/>
    </row>
    <row r="34" spans="1:5" ht="14.25" customHeight="1" x14ac:dyDescent="0.25">
      <c r="A34" s="150" t="s">
        <v>134</v>
      </c>
      <c r="B34" s="151">
        <f>SUM([3]Balanço!$P$11)</f>
        <v>4440.9839199999997</v>
      </c>
      <c r="C34" s="150"/>
      <c r="D34" s="21">
        <f>SUM('[2]memoria DFC'!$P$11)-1</f>
        <v>-6634.4998699999987</v>
      </c>
    </row>
    <row r="35" spans="1:5" ht="14.25" customHeight="1" x14ac:dyDescent="0.25">
      <c r="A35" s="150" t="s">
        <v>135</v>
      </c>
      <c r="B35" s="151">
        <f>SUM([3]Balanço!$P$12+[3]Balanço!$P$19)</f>
        <v>43.194390000000112</v>
      </c>
      <c r="C35" s="150"/>
      <c r="D35" s="21">
        <f>SUM('[2]memoria DFC'!$P$12)</f>
        <v>-12.17832999999996</v>
      </c>
    </row>
    <row r="36" spans="1:5" ht="14.25" customHeight="1" x14ac:dyDescent="0.25">
      <c r="A36" s="150" t="s">
        <v>136</v>
      </c>
      <c r="B36" s="151">
        <v>8660</v>
      </c>
      <c r="C36" s="150"/>
      <c r="D36" s="21">
        <v>9297</v>
      </c>
    </row>
    <row r="37" spans="1:5" ht="14.25" customHeight="1" x14ac:dyDescent="0.25">
      <c r="A37" s="150" t="str">
        <f>'[2]memoria DFC'!$J$17</f>
        <v>Encargos Regulatórios</v>
      </c>
      <c r="B37" s="151">
        <f>SUM([3]Balanço!$P$15)+1</f>
        <v>1465.1076600000006</v>
      </c>
      <c r="C37" s="150"/>
      <c r="D37" s="21">
        <f>SUM('[2]memoria DFC'!$P$17)</f>
        <v>-1347.6918700000006</v>
      </c>
    </row>
    <row r="38" spans="1:5" ht="14.25" customHeight="1" x14ac:dyDescent="0.25">
      <c r="A38" s="150" t="s">
        <v>153</v>
      </c>
      <c r="B38" s="151">
        <v>-1439</v>
      </c>
      <c r="C38" s="150"/>
      <c r="D38" s="21">
        <v>0</v>
      </c>
    </row>
    <row r="39" spans="1:5" ht="14.25" customHeight="1" x14ac:dyDescent="0.25">
      <c r="A39" s="150" t="s">
        <v>137</v>
      </c>
      <c r="B39" s="152">
        <f>SUM([3]Balanço!$P$13,[3]Balanço!$P$16,[3]Balanço!$P$17)</f>
        <v>-1625.1523100000004</v>
      </c>
      <c r="C39" s="150"/>
      <c r="D39" s="37">
        <v>39</v>
      </c>
    </row>
    <row r="40" spans="1:5" ht="14.25" customHeight="1" x14ac:dyDescent="0.25">
      <c r="A40" s="150"/>
      <c r="B40" s="151">
        <f>SUM(B34:B39)</f>
        <v>11545.13366</v>
      </c>
      <c r="C40" s="150"/>
      <c r="D40" s="21">
        <f>SUM(D34:D39)</f>
        <v>1341.629930000001</v>
      </c>
    </row>
    <row r="41" spans="1:5" ht="14.25" customHeight="1" x14ac:dyDescent="0.25">
      <c r="A41" s="155"/>
      <c r="B41" s="156"/>
      <c r="C41" s="155"/>
      <c r="D41" s="21"/>
    </row>
    <row r="42" spans="1:5" ht="14.25" customHeight="1" x14ac:dyDescent="0.25">
      <c r="A42" s="157" t="s">
        <v>138</v>
      </c>
      <c r="B42" s="158">
        <f>-SUM([4]Sheet1!$N$8+[4]Sheet1!$N$15+[4]Sheet1!$N$22+[4]Sheet1!$N$29+[4]Sheet1!$N$36+[4]Sheet1!$N$43+[4]Sheet1!$N$51+[4]Sheet1!$N$62+[4]Sheet1!$N$69+[4]Sheet1!$N$77+[4]Sheet1!$N$88+[4]Sheet1!$N$93+[4]Sheet1!$N$98+[4]Sheet1!$N$103+[4]Sheet1!$N$108+[4]Sheet1!$N$113+[4]Sheet1!$N$125+[4]Sheet1!$N$130+[4]Sheet1!$N$135+[4]Sheet1!$N$141)/1000-10</f>
        <v>-13022.153070000002</v>
      </c>
      <c r="C42" s="157"/>
      <c r="D42" s="37">
        <v>-5538</v>
      </c>
    </row>
    <row r="43" spans="1:5" ht="14.25" customHeight="1" x14ac:dyDescent="0.25">
      <c r="A43" s="150"/>
      <c r="B43" s="151"/>
      <c r="C43" s="150"/>
      <c r="D43" s="21"/>
    </row>
    <row r="44" spans="1:5" ht="14.25" customHeight="1" x14ac:dyDescent="0.25">
      <c r="A44" s="149" t="s">
        <v>139</v>
      </c>
      <c r="B44" s="151">
        <v>11753</v>
      </c>
      <c r="C44" s="150"/>
      <c r="D44" s="21">
        <v>47728</v>
      </c>
    </row>
    <row r="45" spans="1:5" ht="14.25" customHeight="1" x14ac:dyDescent="0.25">
      <c r="A45" s="150"/>
      <c r="B45" s="151"/>
      <c r="C45" s="150"/>
      <c r="D45" s="21"/>
    </row>
    <row r="46" spans="1:5" ht="14.25" customHeight="1" x14ac:dyDescent="0.25">
      <c r="A46" s="160" t="s">
        <v>140</v>
      </c>
      <c r="B46" s="159"/>
      <c r="C46" s="149"/>
      <c r="D46" s="21"/>
    </row>
    <row r="47" spans="1:5" ht="14.25" customHeight="1" x14ac:dyDescent="0.25">
      <c r="A47" s="150" t="s">
        <v>141</v>
      </c>
      <c r="B47" s="21">
        <v>-9741</v>
      </c>
      <c r="C47" s="160"/>
      <c r="D47" s="21">
        <v>-18679</v>
      </c>
      <c r="E47" s="154"/>
    </row>
    <row r="48" spans="1:5" ht="14.25" customHeight="1" x14ac:dyDescent="0.25">
      <c r="A48" s="150"/>
      <c r="B48" s="151"/>
      <c r="C48" s="150"/>
      <c r="D48" s="21"/>
    </row>
    <row r="49" spans="1:5" ht="14.25" customHeight="1" x14ac:dyDescent="0.25">
      <c r="A49" s="149" t="s">
        <v>142</v>
      </c>
      <c r="B49" s="161">
        <v>-9741</v>
      </c>
      <c r="C49" s="149"/>
      <c r="D49" s="21">
        <v>-18679</v>
      </c>
    </row>
    <row r="50" spans="1:5" ht="14.25" customHeight="1" x14ac:dyDescent="0.25">
      <c r="A50" s="162"/>
      <c r="B50" s="161"/>
      <c r="C50" s="162"/>
      <c r="D50" s="21"/>
    </row>
    <row r="51" spans="1:5" ht="14.25" customHeight="1" x14ac:dyDescent="0.25">
      <c r="A51" s="12" t="s">
        <v>143</v>
      </c>
      <c r="B51" s="73"/>
      <c r="C51" s="12"/>
      <c r="D51" s="21"/>
    </row>
    <row r="52" spans="1:5" ht="14.25" customHeight="1" x14ac:dyDescent="0.25">
      <c r="A52" s="15" t="s">
        <v>144</v>
      </c>
      <c r="B52" s="22">
        <v>-1520</v>
      </c>
      <c r="C52" s="15"/>
      <c r="D52" s="21">
        <f>SUM('[2]memoria DFC'!$L$39)</f>
        <v>-26000</v>
      </c>
    </row>
    <row r="53" spans="1:5" ht="14.25" customHeight="1" x14ac:dyDescent="0.25">
      <c r="A53" s="15" t="s">
        <v>145</v>
      </c>
      <c r="B53" s="51">
        <v>-2126</v>
      </c>
      <c r="C53" s="15"/>
      <c r="D53" s="37">
        <v>-845</v>
      </c>
    </row>
    <row r="54" spans="1:5" ht="14.25" customHeight="1" x14ac:dyDescent="0.25">
      <c r="A54" s="15"/>
      <c r="B54" s="19"/>
      <c r="C54" s="15"/>
      <c r="D54" s="21"/>
    </row>
    <row r="55" spans="1:5" ht="14.25" customHeight="1" x14ac:dyDescent="0.25">
      <c r="A55" s="163" t="s">
        <v>146</v>
      </c>
      <c r="B55" s="164">
        <f>SUM(B52:B53)</f>
        <v>-3646</v>
      </c>
      <c r="C55" s="163"/>
      <c r="D55" s="21">
        <f>SUM(D52:D53)</f>
        <v>-26845</v>
      </c>
    </row>
    <row r="56" spans="1:5" ht="14.25" customHeight="1" x14ac:dyDescent="0.25">
      <c r="A56" s="15"/>
      <c r="B56" s="19"/>
      <c r="C56" s="15"/>
      <c r="D56" s="21"/>
    </row>
    <row r="57" spans="1:5" ht="14.25" customHeight="1" thickBot="1" x14ac:dyDescent="0.3">
      <c r="A57" s="76" t="s">
        <v>147</v>
      </c>
      <c r="B57" s="53">
        <f>B63</f>
        <v>-1633.6256599999906</v>
      </c>
      <c r="C57" s="76"/>
      <c r="D57" s="53">
        <f>D63</f>
        <v>2203.5395699999935</v>
      </c>
      <c r="E57" s="154"/>
    </row>
    <row r="58" spans="1:5" ht="14.25" customHeight="1" thickTop="1" x14ac:dyDescent="0.25">
      <c r="A58" s="15"/>
      <c r="B58" s="19"/>
      <c r="C58" s="15"/>
      <c r="D58" s="21"/>
    </row>
    <row r="59" spans="1:5" ht="14.25" customHeight="1" x14ac:dyDescent="0.25">
      <c r="A59" s="15" t="s">
        <v>6</v>
      </c>
      <c r="B59" s="19"/>
      <c r="C59" s="15"/>
      <c r="D59" s="21"/>
    </row>
    <row r="60" spans="1:5" ht="14.25" customHeight="1" x14ac:dyDescent="0.25">
      <c r="A60" s="165" t="s">
        <v>148</v>
      </c>
      <c r="B60" s="166">
        <f>SUM([3]Balanço!$D$11)</f>
        <v>71386.418700000009</v>
      </c>
      <c r="C60" s="165"/>
      <c r="D60" s="21">
        <f>SUM('[2]memoria DFC'!$D$11)</f>
        <v>73020.04436</v>
      </c>
    </row>
    <row r="61" spans="1:5" ht="14.25" customHeight="1" x14ac:dyDescent="0.25">
      <c r="A61" s="165" t="s">
        <v>149</v>
      </c>
      <c r="B61" s="167">
        <f>SUM([3]Balanço!$F$11)</f>
        <v>73020.04436</v>
      </c>
      <c r="C61" s="165"/>
      <c r="D61" s="37">
        <f>SUM('[2]memoria DFC'!$F$11)</f>
        <v>70815.504790000006</v>
      </c>
    </row>
    <row r="62" spans="1:5" ht="14.25" customHeight="1" x14ac:dyDescent="0.25">
      <c r="A62" s="15"/>
      <c r="B62" s="19"/>
      <c r="C62" s="15"/>
      <c r="D62" s="21"/>
    </row>
    <row r="63" spans="1:5" ht="14.25" customHeight="1" thickBot="1" x14ac:dyDescent="0.3">
      <c r="A63" s="76" t="s">
        <v>150</v>
      </c>
      <c r="B63" s="168">
        <f>SUM(B60-B61)</f>
        <v>-1633.6256599999906</v>
      </c>
      <c r="C63" s="76"/>
      <c r="D63" s="53">
        <f>D60-D61-1</f>
        <v>2203.5395699999935</v>
      </c>
    </row>
    <row r="64" spans="1:5" ht="14.25" customHeight="1" thickTop="1" x14ac:dyDescent="0.25">
      <c r="A64" s="169"/>
      <c r="B64" s="169"/>
      <c r="C64" s="169"/>
      <c r="D64" s="169"/>
    </row>
    <row r="65" spans="1:4" ht="14.25" customHeight="1" x14ac:dyDescent="0.25">
      <c r="A65" s="169"/>
      <c r="B65" s="169"/>
      <c r="C65" s="169"/>
      <c r="D65" s="169"/>
    </row>
    <row r="66" spans="1:4" ht="14.25" customHeight="1" x14ac:dyDescent="0.25">
      <c r="A66" s="170" t="s">
        <v>47</v>
      </c>
      <c r="B66" s="170"/>
      <c r="C66" s="170"/>
      <c r="D66" s="171"/>
    </row>
    <row r="67" spans="1:4" ht="14.25" customHeight="1" x14ac:dyDescent="0.25">
      <c r="B67" s="21"/>
      <c r="D67" s="21"/>
    </row>
    <row r="68" spans="1:4" ht="14.25" customHeight="1" x14ac:dyDescent="0.25"/>
    <row r="69" spans="1:4" ht="14.25" customHeight="1" x14ac:dyDescent="0.25"/>
    <row r="70" spans="1:4" ht="14.25" customHeight="1" x14ac:dyDescent="0.25"/>
    <row r="71" spans="1:4" ht="15.75" customHeight="1" x14ac:dyDescent="0.25">
      <c r="B71" s="21"/>
    </row>
  </sheetData>
  <pageMargins left="1.1417322834645669" right="1.1417322834645669" top="0.6692913385826772" bottom="0.51181102362204722" header="0.51181102362204722" footer="0.51181102362204722"/>
  <pageSetup paperSize="9" scale="68" firstPageNumber="10" orientation="portrait" useFirstPageNumber="1" r:id="rId1"/>
  <headerFooter scaleWithDoc="0" alignWithMargins="0">
    <oddFooter>&amp;C&amp;"Times New Roman,Normal"&amp;P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9"/>
  <sheetViews>
    <sheetView showGridLines="0" tabSelected="1" zoomScaleNormal="100" workbookViewId="0">
      <selection activeCell="G9" sqref="G9"/>
    </sheetView>
  </sheetViews>
  <sheetFormatPr defaultRowHeight="15" x14ac:dyDescent="0.25"/>
  <cols>
    <col min="1" max="3" width="1.85546875" style="11" customWidth="1"/>
    <col min="4" max="4" width="72.7109375" style="11" customWidth="1"/>
    <col min="5" max="5" width="14.140625" style="11" customWidth="1"/>
    <col min="6" max="6" width="1.42578125" style="11" customWidth="1"/>
    <col min="7" max="7" width="13.85546875" style="30" bestFit="1" customWidth="1"/>
    <col min="8" max="8" width="3" style="11" customWidth="1"/>
    <col min="9" max="12" width="9.140625" style="11"/>
    <col min="13" max="13" width="10.28515625" style="11" bestFit="1" customWidth="1"/>
    <col min="14" max="256" width="9.140625" style="11"/>
    <col min="257" max="259" width="1.85546875" style="11" customWidth="1"/>
    <col min="260" max="260" width="72.7109375" style="11" customWidth="1"/>
    <col min="261" max="261" width="14.140625" style="11" customWidth="1"/>
    <col min="262" max="262" width="1.42578125" style="11" customWidth="1"/>
    <col min="263" max="263" width="13.85546875" style="11" bestFit="1" customWidth="1"/>
    <col min="264" max="264" width="3" style="11" customWidth="1"/>
    <col min="265" max="268" width="9.140625" style="11"/>
    <col min="269" max="269" width="10.28515625" style="11" bestFit="1" customWidth="1"/>
    <col min="270" max="512" width="9.140625" style="11"/>
    <col min="513" max="515" width="1.85546875" style="11" customWidth="1"/>
    <col min="516" max="516" width="72.7109375" style="11" customWidth="1"/>
    <col min="517" max="517" width="14.140625" style="11" customWidth="1"/>
    <col min="518" max="518" width="1.42578125" style="11" customWidth="1"/>
    <col min="519" max="519" width="13.85546875" style="11" bestFit="1" customWidth="1"/>
    <col min="520" max="520" width="3" style="11" customWidth="1"/>
    <col min="521" max="524" width="9.140625" style="11"/>
    <col min="525" max="525" width="10.28515625" style="11" bestFit="1" customWidth="1"/>
    <col min="526" max="768" width="9.140625" style="11"/>
    <col min="769" max="771" width="1.85546875" style="11" customWidth="1"/>
    <col min="772" max="772" width="72.7109375" style="11" customWidth="1"/>
    <col min="773" max="773" width="14.140625" style="11" customWidth="1"/>
    <col min="774" max="774" width="1.42578125" style="11" customWidth="1"/>
    <col min="775" max="775" width="13.85546875" style="11" bestFit="1" customWidth="1"/>
    <col min="776" max="776" width="3" style="11" customWidth="1"/>
    <col min="777" max="780" width="9.140625" style="11"/>
    <col min="781" max="781" width="10.28515625" style="11" bestFit="1" customWidth="1"/>
    <col min="782" max="1024" width="9.140625" style="11"/>
    <col min="1025" max="1027" width="1.85546875" style="11" customWidth="1"/>
    <col min="1028" max="1028" width="72.7109375" style="11" customWidth="1"/>
    <col min="1029" max="1029" width="14.140625" style="11" customWidth="1"/>
    <col min="1030" max="1030" width="1.42578125" style="11" customWidth="1"/>
    <col min="1031" max="1031" width="13.85546875" style="11" bestFit="1" customWidth="1"/>
    <col min="1032" max="1032" width="3" style="11" customWidth="1"/>
    <col min="1033" max="1036" width="9.140625" style="11"/>
    <col min="1037" max="1037" width="10.28515625" style="11" bestFit="1" customWidth="1"/>
    <col min="1038" max="1280" width="9.140625" style="11"/>
    <col min="1281" max="1283" width="1.85546875" style="11" customWidth="1"/>
    <col min="1284" max="1284" width="72.7109375" style="11" customWidth="1"/>
    <col min="1285" max="1285" width="14.140625" style="11" customWidth="1"/>
    <col min="1286" max="1286" width="1.42578125" style="11" customWidth="1"/>
    <col min="1287" max="1287" width="13.85546875" style="11" bestFit="1" customWidth="1"/>
    <col min="1288" max="1288" width="3" style="11" customWidth="1"/>
    <col min="1289" max="1292" width="9.140625" style="11"/>
    <col min="1293" max="1293" width="10.28515625" style="11" bestFit="1" customWidth="1"/>
    <col min="1294" max="1536" width="9.140625" style="11"/>
    <col min="1537" max="1539" width="1.85546875" style="11" customWidth="1"/>
    <col min="1540" max="1540" width="72.7109375" style="11" customWidth="1"/>
    <col min="1541" max="1541" width="14.140625" style="11" customWidth="1"/>
    <col min="1542" max="1542" width="1.42578125" style="11" customWidth="1"/>
    <col min="1543" max="1543" width="13.85546875" style="11" bestFit="1" customWidth="1"/>
    <col min="1544" max="1544" width="3" style="11" customWidth="1"/>
    <col min="1545" max="1548" width="9.140625" style="11"/>
    <col min="1549" max="1549" width="10.28515625" style="11" bestFit="1" customWidth="1"/>
    <col min="1550" max="1792" width="9.140625" style="11"/>
    <col min="1793" max="1795" width="1.85546875" style="11" customWidth="1"/>
    <col min="1796" max="1796" width="72.7109375" style="11" customWidth="1"/>
    <col min="1797" max="1797" width="14.140625" style="11" customWidth="1"/>
    <col min="1798" max="1798" width="1.42578125" style="11" customWidth="1"/>
    <col min="1799" max="1799" width="13.85546875" style="11" bestFit="1" customWidth="1"/>
    <col min="1800" max="1800" width="3" style="11" customWidth="1"/>
    <col min="1801" max="1804" width="9.140625" style="11"/>
    <col min="1805" max="1805" width="10.28515625" style="11" bestFit="1" customWidth="1"/>
    <col min="1806" max="2048" width="9.140625" style="11"/>
    <col min="2049" max="2051" width="1.85546875" style="11" customWidth="1"/>
    <col min="2052" max="2052" width="72.7109375" style="11" customWidth="1"/>
    <col min="2053" max="2053" width="14.140625" style="11" customWidth="1"/>
    <col min="2054" max="2054" width="1.42578125" style="11" customWidth="1"/>
    <col min="2055" max="2055" width="13.85546875" style="11" bestFit="1" customWidth="1"/>
    <col min="2056" max="2056" width="3" style="11" customWidth="1"/>
    <col min="2057" max="2060" width="9.140625" style="11"/>
    <col min="2061" max="2061" width="10.28515625" style="11" bestFit="1" customWidth="1"/>
    <col min="2062" max="2304" width="9.140625" style="11"/>
    <col min="2305" max="2307" width="1.85546875" style="11" customWidth="1"/>
    <col min="2308" max="2308" width="72.7109375" style="11" customWidth="1"/>
    <col min="2309" max="2309" width="14.140625" style="11" customWidth="1"/>
    <col min="2310" max="2310" width="1.42578125" style="11" customWidth="1"/>
    <col min="2311" max="2311" width="13.85546875" style="11" bestFit="1" customWidth="1"/>
    <col min="2312" max="2312" width="3" style="11" customWidth="1"/>
    <col min="2313" max="2316" width="9.140625" style="11"/>
    <col min="2317" max="2317" width="10.28515625" style="11" bestFit="1" customWidth="1"/>
    <col min="2318" max="2560" width="9.140625" style="11"/>
    <col min="2561" max="2563" width="1.85546875" style="11" customWidth="1"/>
    <col min="2564" max="2564" width="72.7109375" style="11" customWidth="1"/>
    <col min="2565" max="2565" width="14.140625" style="11" customWidth="1"/>
    <col min="2566" max="2566" width="1.42578125" style="11" customWidth="1"/>
    <col min="2567" max="2567" width="13.85546875" style="11" bestFit="1" customWidth="1"/>
    <col min="2568" max="2568" width="3" style="11" customWidth="1"/>
    <col min="2569" max="2572" width="9.140625" style="11"/>
    <col min="2573" max="2573" width="10.28515625" style="11" bestFit="1" customWidth="1"/>
    <col min="2574" max="2816" width="9.140625" style="11"/>
    <col min="2817" max="2819" width="1.85546875" style="11" customWidth="1"/>
    <col min="2820" max="2820" width="72.7109375" style="11" customWidth="1"/>
    <col min="2821" max="2821" width="14.140625" style="11" customWidth="1"/>
    <col min="2822" max="2822" width="1.42578125" style="11" customWidth="1"/>
    <col min="2823" max="2823" width="13.85546875" style="11" bestFit="1" customWidth="1"/>
    <col min="2824" max="2824" width="3" style="11" customWidth="1"/>
    <col min="2825" max="2828" width="9.140625" style="11"/>
    <col min="2829" max="2829" width="10.28515625" style="11" bestFit="1" customWidth="1"/>
    <col min="2830" max="3072" width="9.140625" style="11"/>
    <col min="3073" max="3075" width="1.85546875" style="11" customWidth="1"/>
    <col min="3076" max="3076" width="72.7109375" style="11" customWidth="1"/>
    <col min="3077" max="3077" width="14.140625" style="11" customWidth="1"/>
    <col min="3078" max="3078" width="1.42578125" style="11" customWidth="1"/>
    <col min="3079" max="3079" width="13.85546875" style="11" bestFit="1" customWidth="1"/>
    <col min="3080" max="3080" width="3" style="11" customWidth="1"/>
    <col min="3081" max="3084" width="9.140625" style="11"/>
    <col min="3085" max="3085" width="10.28515625" style="11" bestFit="1" customWidth="1"/>
    <col min="3086" max="3328" width="9.140625" style="11"/>
    <col min="3329" max="3331" width="1.85546875" style="11" customWidth="1"/>
    <col min="3332" max="3332" width="72.7109375" style="11" customWidth="1"/>
    <col min="3333" max="3333" width="14.140625" style="11" customWidth="1"/>
    <col min="3334" max="3334" width="1.42578125" style="11" customWidth="1"/>
    <col min="3335" max="3335" width="13.85546875" style="11" bestFit="1" customWidth="1"/>
    <col min="3336" max="3336" width="3" style="11" customWidth="1"/>
    <col min="3337" max="3340" width="9.140625" style="11"/>
    <col min="3341" max="3341" width="10.28515625" style="11" bestFit="1" customWidth="1"/>
    <col min="3342" max="3584" width="9.140625" style="11"/>
    <col min="3585" max="3587" width="1.85546875" style="11" customWidth="1"/>
    <col min="3588" max="3588" width="72.7109375" style="11" customWidth="1"/>
    <col min="3589" max="3589" width="14.140625" style="11" customWidth="1"/>
    <col min="3590" max="3590" width="1.42578125" style="11" customWidth="1"/>
    <col min="3591" max="3591" width="13.85546875" style="11" bestFit="1" customWidth="1"/>
    <col min="3592" max="3592" width="3" style="11" customWidth="1"/>
    <col min="3593" max="3596" width="9.140625" style="11"/>
    <col min="3597" max="3597" width="10.28515625" style="11" bestFit="1" customWidth="1"/>
    <col min="3598" max="3840" width="9.140625" style="11"/>
    <col min="3841" max="3843" width="1.85546875" style="11" customWidth="1"/>
    <col min="3844" max="3844" width="72.7109375" style="11" customWidth="1"/>
    <col min="3845" max="3845" width="14.140625" style="11" customWidth="1"/>
    <col min="3846" max="3846" width="1.42578125" style="11" customWidth="1"/>
    <col min="3847" max="3847" width="13.85546875" style="11" bestFit="1" customWidth="1"/>
    <col min="3848" max="3848" width="3" style="11" customWidth="1"/>
    <col min="3849" max="3852" width="9.140625" style="11"/>
    <col min="3853" max="3853" width="10.28515625" style="11" bestFit="1" customWidth="1"/>
    <col min="3854" max="4096" width="9.140625" style="11"/>
    <col min="4097" max="4099" width="1.85546875" style="11" customWidth="1"/>
    <col min="4100" max="4100" width="72.7109375" style="11" customWidth="1"/>
    <col min="4101" max="4101" width="14.140625" style="11" customWidth="1"/>
    <col min="4102" max="4102" width="1.42578125" style="11" customWidth="1"/>
    <col min="4103" max="4103" width="13.85546875" style="11" bestFit="1" customWidth="1"/>
    <col min="4104" max="4104" width="3" style="11" customWidth="1"/>
    <col min="4105" max="4108" width="9.140625" style="11"/>
    <col min="4109" max="4109" width="10.28515625" style="11" bestFit="1" customWidth="1"/>
    <col min="4110" max="4352" width="9.140625" style="11"/>
    <col min="4353" max="4355" width="1.85546875" style="11" customWidth="1"/>
    <col min="4356" max="4356" width="72.7109375" style="11" customWidth="1"/>
    <col min="4357" max="4357" width="14.140625" style="11" customWidth="1"/>
    <col min="4358" max="4358" width="1.42578125" style="11" customWidth="1"/>
    <col min="4359" max="4359" width="13.85546875" style="11" bestFit="1" customWidth="1"/>
    <col min="4360" max="4360" width="3" style="11" customWidth="1"/>
    <col min="4361" max="4364" width="9.140625" style="11"/>
    <col min="4365" max="4365" width="10.28515625" style="11" bestFit="1" customWidth="1"/>
    <col min="4366" max="4608" width="9.140625" style="11"/>
    <col min="4609" max="4611" width="1.85546875" style="11" customWidth="1"/>
    <col min="4612" max="4612" width="72.7109375" style="11" customWidth="1"/>
    <col min="4613" max="4613" width="14.140625" style="11" customWidth="1"/>
    <col min="4614" max="4614" width="1.42578125" style="11" customWidth="1"/>
    <col min="4615" max="4615" width="13.85546875" style="11" bestFit="1" customWidth="1"/>
    <col min="4616" max="4616" width="3" style="11" customWidth="1"/>
    <col min="4617" max="4620" width="9.140625" style="11"/>
    <col min="4621" max="4621" width="10.28515625" style="11" bestFit="1" customWidth="1"/>
    <col min="4622" max="4864" width="9.140625" style="11"/>
    <col min="4865" max="4867" width="1.85546875" style="11" customWidth="1"/>
    <col min="4868" max="4868" width="72.7109375" style="11" customWidth="1"/>
    <col min="4869" max="4869" width="14.140625" style="11" customWidth="1"/>
    <col min="4870" max="4870" width="1.42578125" style="11" customWidth="1"/>
    <col min="4871" max="4871" width="13.85546875" style="11" bestFit="1" customWidth="1"/>
    <col min="4872" max="4872" width="3" style="11" customWidth="1"/>
    <col min="4873" max="4876" width="9.140625" style="11"/>
    <col min="4877" max="4877" width="10.28515625" style="11" bestFit="1" customWidth="1"/>
    <col min="4878" max="5120" width="9.140625" style="11"/>
    <col min="5121" max="5123" width="1.85546875" style="11" customWidth="1"/>
    <col min="5124" max="5124" width="72.7109375" style="11" customWidth="1"/>
    <col min="5125" max="5125" width="14.140625" style="11" customWidth="1"/>
    <col min="5126" max="5126" width="1.42578125" style="11" customWidth="1"/>
    <col min="5127" max="5127" width="13.85546875" style="11" bestFit="1" customWidth="1"/>
    <col min="5128" max="5128" width="3" style="11" customWidth="1"/>
    <col min="5129" max="5132" width="9.140625" style="11"/>
    <col min="5133" max="5133" width="10.28515625" style="11" bestFit="1" customWidth="1"/>
    <col min="5134" max="5376" width="9.140625" style="11"/>
    <col min="5377" max="5379" width="1.85546875" style="11" customWidth="1"/>
    <col min="5380" max="5380" width="72.7109375" style="11" customWidth="1"/>
    <col min="5381" max="5381" width="14.140625" style="11" customWidth="1"/>
    <col min="5382" max="5382" width="1.42578125" style="11" customWidth="1"/>
    <col min="5383" max="5383" width="13.85546875" style="11" bestFit="1" customWidth="1"/>
    <col min="5384" max="5384" width="3" style="11" customWidth="1"/>
    <col min="5385" max="5388" width="9.140625" style="11"/>
    <col min="5389" max="5389" width="10.28515625" style="11" bestFit="1" customWidth="1"/>
    <col min="5390" max="5632" width="9.140625" style="11"/>
    <col min="5633" max="5635" width="1.85546875" style="11" customWidth="1"/>
    <col min="5636" max="5636" width="72.7109375" style="11" customWidth="1"/>
    <col min="5637" max="5637" width="14.140625" style="11" customWidth="1"/>
    <col min="5638" max="5638" width="1.42578125" style="11" customWidth="1"/>
    <col min="5639" max="5639" width="13.85546875" style="11" bestFit="1" customWidth="1"/>
    <col min="5640" max="5640" width="3" style="11" customWidth="1"/>
    <col min="5641" max="5644" width="9.140625" style="11"/>
    <col min="5645" max="5645" width="10.28515625" style="11" bestFit="1" customWidth="1"/>
    <col min="5646" max="5888" width="9.140625" style="11"/>
    <col min="5889" max="5891" width="1.85546875" style="11" customWidth="1"/>
    <col min="5892" max="5892" width="72.7109375" style="11" customWidth="1"/>
    <col min="5893" max="5893" width="14.140625" style="11" customWidth="1"/>
    <col min="5894" max="5894" width="1.42578125" style="11" customWidth="1"/>
    <col min="5895" max="5895" width="13.85546875" style="11" bestFit="1" customWidth="1"/>
    <col min="5896" max="5896" width="3" style="11" customWidth="1"/>
    <col min="5897" max="5900" width="9.140625" style="11"/>
    <col min="5901" max="5901" width="10.28515625" style="11" bestFit="1" customWidth="1"/>
    <col min="5902" max="6144" width="9.140625" style="11"/>
    <col min="6145" max="6147" width="1.85546875" style="11" customWidth="1"/>
    <col min="6148" max="6148" width="72.7109375" style="11" customWidth="1"/>
    <col min="6149" max="6149" width="14.140625" style="11" customWidth="1"/>
    <col min="6150" max="6150" width="1.42578125" style="11" customWidth="1"/>
    <col min="6151" max="6151" width="13.85546875" style="11" bestFit="1" customWidth="1"/>
    <col min="6152" max="6152" width="3" style="11" customWidth="1"/>
    <col min="6153" max="6156" width="9.140625" style="11"/>
    <col min="6157" max="6157" width="10.28515625" style="11" bestFit="1" customWidth="1"/>
    <col min="6158" max="6400" width="9.140625" style="11"/>
    <col min="6401" max="6403" width="1.85546875" style="11" customWidth="1"/>
    <col min="6404" max="6404" width="72.7109375" style="11" customWidth="1"/>
    <col min="6405" max="6405" width="14.140625" style="11" customWidth="1"/>
    <col min="6406" max="6406" width="1.42578125" style="11" customWidth="1"/>
    <col min="6407" max="6407" width="13.85546875" style="11" bestFit="1" customWidth="1"/>
    <col min="6408" max="6408" width="3" style="11" customWidth="1"/>
    <col min="6409" max="6412" width="9.140625" style="11"/>
    <col min="6413" max="6413" width="10.28515625" style="11" bestFit="1" customWidth="1"/>
    <col min="6414" max="6656" width="9.140625" style="11"/>
    <col min="6657" max="6659" width="1.85546875" style="11" customWidth="1"/>
    <col min="6660" max="6660" width="72.7109375" style="11" customWidth="1"/>
    <col min="6661" max="6661" width="14.140625" style="11" customWidth="1"/>
    <col min="6662" max="6662" width="1.42578125" style="11" customWidth="1"/>
    <col min="6663" max="6663" width="13.85546875" style="11" bestFit="1" customWidth="1"/>
    <col min="6664" max="6664" width="3" style="11" customWidth="1"/>
    <col min="6665" max="6668" width="9.140625" style="11"/>
    <col min="6669" max="6669" width="10.28515625" style="11" bestFit="1" customWidth="1"/>
    <col min="6670" max="6912" width="9.140625" style="11"/>
    <col min="6913" max="6915" width="1.85546875" style="11" customWidth="1"/>
    <col min="6916" max="6916" width="72.7109375" style="11" customWidth="1"/>
    <col min="6917" max="6917" width="14.140625" style="11" customWidth="1"/>
    <col min="6918" max="6918" width="1.42578125" style="11" customWidth="1"/>
    <col min="6919" max="6919" width="13.85546875" style="11" bestFit="1" customWidth="1"/>
    <col min="6920" max="6920" width="3" style="11" customWidth="1"/>
    <col min="6921" max="6924" width="9.140625" style="11"/>
    <col min="6925" max="6925" width="10.28515625" style="11" bestFit="1" customWidth="1"/>
    <col min="6926" max="7168" width="9.140625" style="11"/>
    <col min="7169" max="7171" width="1.85546875" style="11" customWidth="1"/>
    <col min="7172" max="7172" width="72.7109375" style="11" customWidth="1"/>
    <col min="7173" max="7173" width="14.140625" style="11" customWidth="1"/>
    <col min="7174" max="7174" width="1.42578125" style="11" customWidth="1"/>
    <col min="7175" max="7175" width="13.85546875" style="11" bestFit="1" customWidth="1"/>
    <col min="7176" max="7176" width="3" style="11" customWidth="1"/>
    <col min="7177" max="7180" width="9.140625" style="11"/>
    <col min="7181" max="7181" width="10.28515625" style="11" bestFit="1" customWidth="1"/>
    <col min="7182" max="7424" width="9.140625" style="11"/>
    <col min="7425" max="7427" width="1.85546875" style="11" customWidth="1"/>
    <col min="7428" max="7428" width="72.7109375" style="11" customWidth="1"/>
    <col min="7429" max="7429" width="14.140625" style="11" customWidth="1"/>
    <col min="7430" max="7430" width="1.42578125" style="11" customWidth="1"/>
    <col min="7431" max="7431" width="13.85546875" style="11" bestFit="1" customWidth="1"/>
    <col min="7432" max="7432" width="3" style="11" customWidth="1"/>
    <col min="7433" max="7436" width="9.140625" style="11"/>
    <col min="7437" max="7437" width="10.28515625" style="11" bestFit="1" customWidth="1"/>
    <col min="7438" max="7680" width="9.140625" style="11"/>
    <col min="7681" max="7683" width="1.85546875" style="11" customWidth="1"/>
    <col min="7684" max="7684" width="72.7109375" style="11" customWidth="1"/>
    <col min="7685" max="7685" width="14.140625" style="11" customWidth="1"/>
    <col min="7686" max="7686" width="1.42578125" style="11" customWidth="1"/>
    <col min="7687" max="7687" width="13.85546875" style="11" bestFit="1" customWidth="1"/>
    <col min="7688" max="7688" width="3" style="11" customWidth="1"/>
    <col min="7689" max="7692" width="9.140625" style="11"/>
    <col min="7693" max="7693" width="10.28515625" style="11" bestFit="1" customWidth="1"/>
    <col min="7694" max="7936" width="9.140625" style="11"/>
    <col min="7937" max="7939" width="1.85546875" style="11" customWidth="1"/>
    <col min="7940" max="7940" width="72.7109375" style="11" customWidth="1"/>
    <col min="7941" max="7941" width="14.140625" style="11" customWidth="1"/>
    <col min="7942" max="7942" width="1.42578125" style="11" customWidth="1"/>
    <col min="7943" max="7943" width="13.85546875" style="11" bestFit="1" customWidth="1"/>
    <col min="7944" max="7944" width="3" style="11" customWidth="1"/>
    <col min="7945" max="7948" width="9.140625" style="11"/>
    <col min="7949" max="7949" width="10.28515625" style="11" bestFit="1" customWidth="1"/>
    <col min="7950" max="8192" width="9.140625" style="11"/>
    <col min="8193" max="8195" width="1.85546875" style="11" customWidth="1"/>
    <col min="8196" max="8196" width="72.7109375" style="11" customWidth="1"/>
    <col min="8197" max="8197" width="14.140625" style="11" customWidth="1"/>
    <col min="8198" max="8198" width="1.42578125" style="11" customWidth="1"/>
    <col min="8199" max="8199" width="13.85546875" style="11" bestFit="1" customWidth="1"/>
    <col min="8200" max="8200" width="3" style="11" customWidth="1"/>
    <col min="8201" max="8204" width="9.140625" style="11"/>
    <col min="8205" max="8205" width="10.28515625" style="11" bestFit="1" customWidth="1"/>
    <col min="8206" max="8448" width="9.140625" style="11"/>
    <col min="8449" max="8451" width="1.85546875" style="11" customWidth="1"/>
    <col min="8452" max="8452" width="72.7109375" style="11" customWidth="1"/>
    <col min="8453" max="8453" width="14.140625" style="11" customWidth="1"/>
    <col min="8454" max="8454" width="1.42578125" style="11" customWidth="1"/>
    <col min="8455" max="8455" width="13.85546875" style="11" bestFit="1" customWidth="1"/>
    <col min="8456" max="8456" width="3" style="11" customWidth="1"/>
    <col min="8457" max="8460" width="9.140625" style="11"/>
    <col min="8461" max="8461" width="10.28515625" style="11" bestFit="1" customWidth="1"/>
    <col min="8462" max="8704" width="9.140625" style="11"/>
    <col min="8705" max="8707" width="1.85546875" style="11" customWidth="1"/>
    <col min="8708" max="8708" width="72.7109375" style="11" customWidth="1"/>
    <col min="8709" max="8709" width="14.140625" style="11" customWidth="1"/>
    <col min="8710" max="8710" width="1.42578125" style="11" customWidth="1"/>
    <col min="8711" max="8711" width="13.85546875" style="11" bestFit="1" customWidth="1"/>
    <col min="8712" max="8712" width="3" style="11" customWidth="1"/>
    <col min="8713" max="8716" width="9.140625" style="11"/>
    <col min="8717" max="8717" width="10.28515625" style="11" bestFit="1" customWidth="1"/>
    <col min="8718" max="8960" width="9.140625" style="11"/>
    <col min="8961" max="8963" width="1.85546875" style="11" customWidth="1"/>
    <col min="8964" max="8964" width="72.7109375" style="11" customWidth="1"/>
    <col min="8965" max="8965" width="14.140625" style="11" customWidth="1"/>
    <col min="8966" max="8966" width="1.42578125" style="11" customWidth="1"/>
    <col min="8967" max="8967" width="13.85546875" style="11" bestFit="1" customWidth="1"/>
    <col min="8968" max="8968" width="3" style="11" customWidth="1"/>
    <col min="8969" max="8972" width="9.140625" style="11"/>
    <col min="8973" max="8973" width="10.28515625" style="11" bestFit="1" customWidth="1"/>
    <col min="8974" max="9216" width="9.140625" style="11"/>
    <col min="9217" max="9219" width="1.85546875" style="11" customWidth="1"/>
    <col min="9220" max="9220" width="72.7109375" style="11" customWidth="1"/>
    <col min="9221" max="9221" width="14.140625" style="11" customWidth="1"/>
    <col min="9222" max="9222" width="1.42578125" style="11" customWidth="1"/>
    <col min="9223" max="9223" width="13.85546875" style="11" bestFit="1" customWidth="1"/>
    <col min="9224" max="9224" width="3" style="11" customWidth="1"/>
    <col min="9225" max="9228" width="9.140625" style="11"/>
    <col min="9229" max="9229" width="10.28515625" style="11" bestFit="1" customWidth="1"/>
    <col min="9230" max="9472" width="9.140625" style="11"/>
    <col min="9473" max="9475" width="1.85546875" style="11" customWidth="1"/>
    <col min="9476" max="9476" width="72.7109375" style="11" customWidth="1"/>
    <col min="9477" max="9477" width="14.140625" style="11" customWidth="1"/>
    <col min="9478" max="9478" width="1.42578125" style="11" customWidth="1"/>
    <col min="9479" max="9479" width="13.85546875" style="11" bestFit="1" customWidth="1"/>
    <col min="9480" max="9480" width="3" style="11" customWidth="1"/>
    <col min="9481" max="9484" width="9.140625" style="11"/>
    <col min="9485" max="9485" width="10.28515625" style="11" bestFit="1" customWidth="1"/>
    <col min="9486" max="9728" width="9.140625" style="11"/>
    <col min="9729" max="9731" width="1.85546875" style="11" customWidth="1"/>
    <col min="9732" max="9732" width="72.7109375" style="11" customWidth="1"/>
    <col min="9733" max="9733" width="14.140625" style="11" customWidth="1"/>
    <col min="9734" max="9734" width="1.42578125" style="11" customWidth="1"/>
    <col min="9735" max="9735" width="13.85546875" style="11" bestFit="1" customWidth="1"/>
    <col min="9736" max="9736" width="3" style="11" customWidth="1"/>
    <col min="9737" max="9740" width="9.140625" style="11"/>
    <col min="9741" max="9741" width="10.28515625" style="11" bestFit="1" customWidth="1"/>
    <col min="9742" max="9984" width="9.140625" style="11"/>
    <col min="9985" max="9987" width="1.85546875" style="11" customWidth="1"/>
    <col min="9988" max="9988" width="72.7109375" style="11" customWidth="1"/>
    <col min="9989" max="9989" width="14.140625" style="11" customWidth="1"/>
    <col min="9990" max="9990" width="1.42578125" style="11" customWidth="1"/>
    <col min="9991" max="9991" width="13.85546875" style="11" bestFit="1" customWidth="1"/>
    <col min="9992" max="9992" width="3" style="11" customWidth="1"/>
    <col min="9993" max="9996" width="9.140625" style="11"/>
    <col min="9997" max="9997" width="10.28515625" style="11" bestFit="1" customWidth="1"/>
    <col min="9998" max="10240" width="9.140625" style="11"/>
    <col min="10241" max="10243" width="1.85546875" style="11" customWidth="1"/>
    <col min="10244" max="10244" width="72.7109375" style="11" customWidth="1"/>
    <col min="10245" max="10245" width="14.140625" style="11" customWidth="1"/>
    <col min="10246" max="10246" width="1.42578125" style="11" customWidth="1"/>
    <col min="10247" max="10247" width="13.85546875" style="11" bestFit="1" customWidth="1"/>
    <col min="10248" max="10248" width="3" style="11" customWidth="1"/>
    <col min="10249" max="10252" width="9.140625" style="11"/>
    <col min="10253" max="10253" width="10.28515625" style="11" bestFit="1" customWidth="1"/>
    <col min="10254" max="10496" width="9.140625" style="11"/>
    <col min="10497" max="10499" width="1.85546875" style="11" customWidth="1"/>
    <col min="10500" max="10500" width="72.7109375" style="11" customWidth="1"/>
    <col min="10501" max="10501" width="14.140625" style="11" customWidth="1"/>
    <col min="10502" max="10502" width="1.42578125" style="11" customWidth="1"/>
    <col min="10503" max="10503" width="13.85546875" style="11" bestFit="1" customWidth="1"/>
    <col min="10504" max="10504" width="3" style="11" customWidth="1"/>
    <col min="10505" max="10508" width="9.140625" style="11"/>
    <col min="10509" max="10509" width="10.28515625" style="11" bestFit="1" customWidth="1"/>
    <col min="10510" max="10752" width="9.140625" style="11"/>
    <col min="10753" max="10755" width="1.85546875" style="11" customWidth="1"/>
    <col min="10756" max="10756" width="72.7109375" style="11" customWidth="1"/>
    <col min="10757" max="10757" width="14.140625" style="11" customWidth="1"/>
    <col min="10758" max="10758" width="1.42578125" style="11" customWidth="1"/>
    <col min="10759" max="10759" width="13.85546875" style="11" bestFit="1" customWidth="1"/>
    <col min="10760" max="10760" width="3" style="11" customWidth="1"/>
    <col min="10761" max="10764" width="9.140625" style="11"/>
    <col min="10765" max="10765" width="10.28515625" style="11" bestFit="1" customWidth="1"/>
    <col min="10766" max="11008" width="9.140625" style="11"/>
    <col min="11009" max="11011" width="1.85546875" style="11" customWidth="1"/>
    <col min="11012" max="11012" width="72.7109375" style="11" customWidth="1"/>
    <col min="11013" max="11013" width="14.140625" style="11" customWidth="1"/>
    <col min="11014" max="11014" width="1.42578125" style="11" customWidth="1"/>
    <col min="11015" max="11015" width="13.85546875" style="11" bestFit="1" customWidth="1"/>
    <col min="11016" max="11016" width="3" style="11" customWidth="1"/>
    <col min="11017" max="11020" width="9.140625" style="11"/>
    <col min="11021" max="11021" width="10.28515625" style="11" bestFit="1" customWidth="1"/>
    <col min="11022" max="11264" width="9.140625" style="11"/>
    <col min="11265" max="11267" width="1.85546875" style="11" customWidth="1"/>
    <col min="11268" max="11268" width="72.7109375" style="11" customWidth="1"/>
    <col min="11269" max="11269" width="14.140625" style="11" customWidth="1"/>
    <col min="11270" max="11270" width="1.42578125" style="11" customWidth="1"/>
    <col min="11271" max="11271" width="13.85546875" style="11" bestFit="1" customWidth="1"/>
    <col min="11272" max="11272" width="3" style="11" customWidth="1"/>
    <col min="11273" max="11276" width="9.140625" style="11"/>
    <col min="11277" max="11277" width="10.28515625" style="11" bestFit="1" customWidth="1"/>
    <col min="11278" max="11520" width="9.140625" style="11"/>
    <col min="11521" max="11523" width="1.85546875" style="11" customWidth="1"/>
    <col min="11524" max="11524" width="72.7109375" style="11" customWidth="1"/>
    <col min="11525" max="11525" width="14.140625" style="11" customWidth="1"/>
    <col min="11526" max="11526" width="1.42578125" style="11" customWidth="1"/>
    <col min="11527" max="11527" width="13.85546875" style="11" bestFit="1" customWidth="1"/>
    <col min="11528" max="11528" width="3" style="11" customWidth="1"/>
    <col min="11529" max="11532" width="9.140625" style="11"/>
    <col min="11533" max="11533" width="10.28515625" style="11" bestFit="1" customWidth="1"/>
    <col min="11534" max="11776" width="9.140625" style="11"/>
    <col min="11777" max="11779" width="1.85546875" style="11" customWidth="1"/>
    <col min="11780" max="11780" width="72.7109375" style="11" customWidth="1"/>
    <col min="11781" max="11781" width="14.140625" style="11" customWidth="1"/>
    <col min="11782" max="11782" width="1.42578125" style="11" customWidth="1"/>
    <col min="11783" max="11783" width="13.85546875" style="11" bestFit="1" customWidth="1"/>
    <col min="11784" max="11784" width="3" style="11" customWidth="1"/>
    <col min="11785" max="11788" width="9.140625" style="11"/>
    <col min="11789" max="11789" width="10.28515625" style="11" bestFit="1" customWidth="1"/>
    <col min="11790" max="12032" width="9.140625" style="11"/>
    <col min="12033" max="12035" width="1.85546875" style="11" customWidth="1"/>
    <col min="12036" max="12036" width="72.7109375" style="11" customWidth="1"/>
    <col min="12037" max="12037" width="14.140625" style="11" customWidth="1"/>
    <col min="12038" max="12038" width="1.42578125" style="11" customWidth="1"/>
    <col min="12039" max="12039" width="13.85546875" style="11" bestFit="1" customWidth="1"/>
    <col min="12040" max="12040" width="3" style="11" customWidth="1"/>
    <col min="12041" max="12044" width="9.140625" style="11"/>
    <col min="12045" max="12045" width="10.28515625" style="11" bestFit="1" customWidth="1"/>
    <col min="12046" max="12288" width="9.140625" style="11"/>
    <col min="12289" max="12291" width="1.85546875" style="11" customWidth="1"/>
    <col min="12292" max="12292" width="72.7109375" style="11" customWidth="1"/>
    <col min="12293" max="12293" width="14.140625" style="11" customWidth="1"/>
    <col min="12294" max="12294" width="1.42578125" style="11" customWidth="1"/>
    <col min="12295" max="12295" width="13.85546875" style="11" bestFit="1" customWidth="1"/>
    <col min="12296" max="12296" width="3" style="11" customWidth="1"/>
    <col min="12297" max="12300" width="9.140625" style="11"/>
    <col min="12301" max="12301" width="10.28515625" style="11" bestFit="1" customWidth="1"/>
    <col min="12302" max="12544" width="9.140625" style="11"/>
    <col min="12545" max="12547" width="1.85546875" style="11" customWidth="1"/>
    <col min="12548" max="12548" width="72.7109375" style="11" customWidth="1"/>
    <col min="12549" max="12549" width="14.140625" style="11" customWidth="1"/>
    <col min="12550" max="12550" width="1.42578125" style="11" customWidth="1"/>
    <col min="12551" max="12551" width="13.85546875" style="11" bestFit="1" customWidth="1"/>
    <col min="12552" max="12552" width="3" style="11" customWidth="1"/>
    <col min="12553" max="12556" width="9.140625" style="11"/>
    <col min="12557" max="12557" width="10.28515625" style="11" bestFit="1" customWidth="1"/>
    <col min="12558" max="12800" width="9.140625" style="11"/>
    <col min="12801" max="12803" width="1.85546875" style="11" customWidth="1"/>
    <col min="12804" max="12804" width="72.7109375" style="11" customWidth="1"/>
    <col min="12805" max="12805" width="14.140625" style="11" customWidth="1"/>
    <col min="12806" max="12806" width="1.42578125" style="11" customWidth="1"/>
    <col min="12807" max="12807" width="13.85546875" style="11" bestFit="1" customWidth="1"/>
    <col min="12808" max="12808" width="3" style="11" customWidth="1"/>
    <col min="12809" max="12812" width="9.140625" style="11"/>
    <col min="12813" max="12813" width="10.28515625" style="11" bestFit="1" customWidth="1"/>
    <col min="12814" max="13056" width="9.140625" style="11"/>
    <col min="13057" max="13059" width="1.85546875" style="11" customWidth="1"/>
    <col min="13060" max="13060" width="72.7109375" style="11" customWidth="1"/>
    <col min="13061" max="13061" width="14.140625" style="11" customWidth="1"/>
    <col min="13062" max="13062" width="1.42578125" style="11" customWidth="1"/>
    <col min="13063" max="13063" width="13.85546875" style="11" bestFit="1" customWidth="1"/>
    <col min="13064" max="13064" width="3" style="11" customWidth="1"/>
    <col min="13065" max="13068" width="9.140625" style="11"/>
    <col min="13069" max="13069" width="10.28515625" style="11" bestFit="1" customWidth="1"/>
    <col min="13070" max="13312" width="9.140625" style="11"/>
    <col min="13313" max="13315" width="1.85546875" style="11" customWidth="1"/>
    <col min="13316" max="13316" width="72.7109375" style="11" customWidth="1"/>
    <col min="13317" max="13317" width="14.140625" style="11" customWidth="1"/>
    <col min="13318" max="13318" width="1.42578125" style="11" customWidth="1"/>
    <col min="13319" max="13319" width="13.85546875" style="11" bestFit="1" customWidth="1"/>
    <col min="13320" max="13320" width="3" style="11" customWidth="1"/>
    <col min="13321" max="13324" width="9.140625" style="11"/>
    <col min="13325" max="13325" width="10.28515625" style="11" bestFit="1" customWidth="1"/>
    <col min="13326" max="13568" width="9.140625" style="11"/>
    <col min="13569" max="13571" width="1.85546875" style="11" customWidth="1"/>
    <col min="13572" max="13572" width="72.7109375" style="11" customWidth="1"/>
    <col min="13573" max="13573" width="14.140625" style="11" customWidth="1"/>
    <col min="13574" max="13574" width="1.42578125" style="11" customWidth="1"/>
    <col min="13575" max="13575" width="13.85546875" style="11" bestFit="1" customWidth="1"/>
    <col min="13576" max="13576" width="3" style="11" customWidth="1"/>
    <col min="13577" max="13580" width="9.140625" style="11"/>
    <col min="13581" max="13581" width="10.28515625" style="11" bestFit="1" customWidth="1"/>
    <col min="13582" max="13824" width="9.140625" style="11"/>
    <col min="13825" max="13827" width="1.85546875" style="11" customWidth="1"/>
    <col min="13828" max="13828" width="72.7109375" style="11" customWidth="1"/>
    <col min="13829" max="13829" width="14.140625" style="11" customWidth="1"/>
    <col min="13830" max="13830" width="1.42578125" style="11" customWidth="1"/>
    <col min="13831" max="13831" width="13.85546875" style="11" bestFit="1" customWidth="1"/>
    <col min="13832" max="13832" width="3" style="11" customWidth="1"/>
    <col min="13833" max="13836" width="9.140625" style="11"/>
    <col min="13837" max="13837" width="10.28515625" style="11" bestFit="1" customWidth="1"/>
    <col min="13838" max="14080" width="9.140625" style="11"/>
    <col min="14081" max="14083" width="1.85546875" style="11" customWidth="1"/>
    <col min="14084" max="14084" width="72.7109375" style="11" customWidth="1"/>
    <col min="14085" max="14085" width="14.140625" style="11" customWidth="1"/>
    <col min="14086" max="14086" width="1.42578125" style="11" customWidth="1"/>
    <col min="14087" max="14087" width="13.85546875" style="11" bestFit="1" customWidth="1"/>
    <col min="14088" max="14088" width="3" style="11" customWidth="1"/>
    <col min="14089" max="14092" width="9.140625" style="11"/>
    <col min="14093" max="14093" width="10.28515625" style="11" bestFit="1" customWidth="1"/>
    <col min="14094" max="14336" width="9.140625" style="11"/>
    <col min="14337" max="14339" width="1.85546875" style="11" customWidth="1"/>
    <col min="14340" max="14340" width="72.7109375" style="11" customWidth="1"/>
    <col min="14341" max="14341" width="14.140625" style="11" customWidth="1"/>
    <col min="14342" max="14342" width="1.42578125" style="11" customWidth="1"/>
    <col min="14343" max="14343" width="13.85546875" style="11" bestFit="1" customWidth="1"/>
    <col min="14344" max="14344" width="3" style="11" customWidth="1"/>
    <col min="14345" max="14348" width="9.140625" style="11"/>
    <col min="14349" max="14349" width="10.28515625" style="11" bestFit="1" customWidth="1"/>
    <col min="14350" max="14592" width="9.140625" style="11"/>
    <col min="14593" max="14595" width="1.85546875" style="11" customWidth="1"/>
    <col min="14596" max="14596" width="72.7109375" style="11" customWidth="1"/>
    <col min="14597" max="14597" width="14.140625" style="11" customWidth="1"/>
    <col min="14598" max="14598" width="1.42578125" style="11" customWidth="1"/>
    <col min="14599" max="14599" width="13.85546875" style="11" bestFit="1" customWidth="1"/>
    <col min="14600" max="14600" width="3" style="11" customWidth="1"/>
    <col min="14601" max="14604" width="9.140625" style="11"/>
    <col min="14605" max="14605" width="10.28515625" style="11" bestFit="1" customWidth="1"/>
    <col min="14606" max="14848" width="9.140625" style="11"/>
    <col min="14849" max="14851" width="1.85546875" style="11" customWidth="1"/>
    <col min="14852" max="14852" width="72.7109375" style="11" customWidth="1"/>
    <col min="14853" max="14853" width="14.140625" style="11" customWidth="1"/>
    <col min="14854" max="14854" width="1.42578125" style="11" customWidth="1"/>
    <col min="14855" max="14855" width="13.85546875" style="11" bestFit="1" customWidth="1"/>
    <col min="14856" max="14856" width="3" style="11" customWidth="1"/>
    <col min="14857" max="14860" width="9.140625" style="11"/>
    <col min="14861" max="14861" width="10.28515625" style="11" bestFit="1" customWidth="1"/>
    <col min="14862" max="15104" width="9.140625" style="11"/>
    <col min="15105" max="15107" width="1.85546875" style="11" customWidth="1"/>
    <col min="15108" max="15108" width="72.7109375" style="11" customWidth="1"/>
    <col min="15109" max="15109" width="14.140625" style="11" customWidth="1"/>
    <col min="15110" max="15110" width="1.42578125" style="11" customWidth="1"/>
    <col min="15111" max="15111" width="13.85546875" style="11" bestFit="1" customWidth="1"/>
    <col min="15112" max="15112" width="3" style="11" customWidth="1"/>
    <col min="15113" max="15116" width="9.140625" style="11"/>
    <col min="15117" max="15117" width="10.28515625" style="11" bestFit="1" customWidth="1"/>
    <col min="15118" max="15360" width="9.140625" style="11"/>
    <col min="15361" max="15363" width="1.85546875" style="11" customWidth="1"/>
    <col min="15364" max="15364" width="72.7109375" style="11" customWidth="1"/>
    <col min="15365" max="15365" width="14.140625" style="11" customWidth="1"/>
    <col min="15366" max="15366" width="1.42578125" style="11" customWidth="1"/>
    <col min="15367" max="15367" width="13.85546875" style="11" bestFit="1" customWidth="1"/>
    <col min="15368" max="15368" width="3" style="11" customWidth="1"/>
    <col min="15369" max="15372" width="9.140625" style="11"/>
    <col min="15373" max="15373" width="10.28515625" style="11" bestFit="1" customWidth="1"/>
    <col min="15374" max="15616" width="9.140625" style="11"/>
    <col min="15617" max="15619" width="1.85546875" style="11" customWidth="1"/>
    <col min="15620" max="15620" width="72.7109375" style="11" customWidth="1"/>
    <col min="15621" max="15621" width="14.140625" style="11" customWidth="1"/>
    <col min="15622" max="15622" width="1.42578125" style="11" customWidth="1"/>
    <col min="15623" max="15623" width="13.85546875" style="11" bestFit="1" customWidth="1"/>
    <col min="15624" max="15624" width="3" style="11" customWidth="1"/>
    <col min="15625" max="15628" width="9.140625" style="11"/>
    <col min="15629" max="15629" width="10.28515625" style="11" bestFit="1" customWidth="1"/>
    <col min="15630" max="15872" width="9.140625" style="11"/>
    <col min="15873" max="15875" width="1.85546875" style="11" customWidth="1"/>
    <col min="15876" max="15876" width="72.7109375" style="11" customWidth="1"/>
    <col min="15877" max="15877" width="14.140625" style="11" customWidth="1"/>
    <col min="15878" max="15878" width="1.42578125" style="11" customWidth="1"/>
    <col min="15879" max="15879" width="13.85546875" style="11" bestFit="1" customWidth="1"/>
    <col min="15880" max="15880" width="3" style="11" customWidth="1"/>
    <col min="15881" max="15884" width="9.140625" style="11"/>
    <col min="15885" max="15885" width="10.28515625" style="11" bestFit="1" customWidth="1"/>
    <col min="15886" max="16128" width="9.140625" style="11"/>
    <col min="16129" max="16131" width="1.85546875" style="11" customWidth="1"/>
    <col min="16132" max="16132" width="72.7109375" style="11" customWidth="1"/>
    <col min="16133" max="16133" width="14.140625" style="11" customWidth="1"/>
    <col min="16134" max="16134" width="1.42578125" style="11" customWidth="1"/>
    <col min="16135" max="16135" width="13.85546875" style="11" bestFit="1" customWidth="1"/>
    <col min="16136" max="16136" width="3" style="11" customWidth="1"/>
    <col min="16137" max="16140" width="9.140625" style="11"/>
    <col min="16141" max="16141" width="10.28515625" style="11" bestFit="1" customWidth="1"/>
    <col min="16142" max="16384" width="9.140625" style="11"/>
  </cols>
  <sheetData>
    <row r="1" spans="1:13" s="2" customFormat="1" ht="20.25" x14ac:dyDescent="0.3">
      <c r="A1" s="129" t="s">
        <v>0</v>
      </c>
      <c r="B1" s="129"/>
      <c r="C1" s="129"/>
      <c r="D1" s="129"/>
      <c r="E1" s="129"/>
      <c r="F1" s="129"/>
      <c r="H1" s="129"/>
    </row>
    <row r="2" spans="1:13" s="2" customFormat="1" ht="14.25" customHeight="1" x14ac:dyDescent="0.25">
      <c r="A2" s="130"/>
      <c r="B2" s="130"/>
      <c r="C2" s="130"/>
      <c r="D2" s="130"/>
      <c r="E2" s="130"/>
      <c r="F2" s="130"/>
      <c r="H2" s="130"/>
    </row>
    <row r="3" spans="1:13" s="2" customFormat="1" ht="23.25" x14ac:dyDescent="0.35">
      <c r="A3" s="131" t="s">
        <v>91</v>
      </c>
      <c r="B3" s="132"/>
      <c r="C3" s="132"/>
      <c r="D3" s="132"/>
      <c r="E3" s="132"/>
      <c r="F3" s="132"/>
      <c r="H3" s="132"/>
    </row>
    <row r="4" spans="1:13" s="2" customFormat="1" ht="14.25" customHeight="1" x14ac:dyDescent="0.25">
      <c r="A4" s="130"/>
      <c r="B4" s="130"/>
      <c r="C4" s="130"/>
      <c r="D4" s="130"/>
      <c r="E4" s="130"/>
      <c r="F4" s="130"/>
      <c r="H4" s="130"/>
    </row>
    <row r="5" spans="1:13" s="2" customFormat="1" ht="16.5" x14ac:dyDescent="0.25">
      <c r="A5" s="67" t="s">
        <v>50</v>
      </c>
      <c r="B5" s="133"/>
      <c r="C5" s="133"/>
      <c r="D5" s="133"/>
      <c r="E5" s="133"/>
      <c r="F5" s="133"/>
      <c r="H5" s="133"/>
    </row>
    <row r="6" spans="1:13" s="2" customFormat="1" ht="14.25" customHeight="1" x14ac:dyDescent="0.25">
      <c r="A6" s="130"/>
      <c r="B6" s="130"/>
      <c r="C6" s="130"/>
      <c r="D6" s="130"/>
      <c r="E6" s="130"/>
      <c r="F6" s="130"/>
      <c r="H6" s="130"/>
    </row>
    <row r="7" spans="1:13" s="2" customFormat="1" ht="14.25" customHeight="1" x14ac:dyDescent="0.25">
      <c r="A7" s="134" t="s">
        <v>1</v>
      </c>
      <c r="B7" s="135"/>
      <c r="C7" s="135"/>
      <c r="D7" s="135"/>
      <c r="E7" s="135"/>
      <c r="F7" s="135"/>
      <c r="H7" s="135"/>
    </row>
    <row r="8" spans="1:13" s="2" customFormat="1" ht="14.25" customHeight="1" x14ac:dyDescent="0.25"/>
    <row r="9" spans="1:13" s="2" customFormat="1" ht="14.25" customHeight="1" x14ac:dyDescent="0.25"/>
    <row r="10" spans="1:13" ht="14.25" customHeight="1" x14ac:dyDescent="0.25">
      <c r="A10" s="136"/>
      <c r="B10" s="136"/>
      <c r="C10" s="136"/>
      <c r="D10" s="136"/>
      <c r="E10" s="10">
        <v>43100</v>
      </c>
      <c r="F10" s="136"/>
      <c r="G10" s="10">
        <v>42735</v>
      </c>
      <c r="H10" s="136"/>
    </row>
    <row r="11" spans="1:13" ht="14.25" customHeight="1" x14ac:dyDescent="0.25">
      <c r="A11" s="136"/>
      <c r="B11" s="136"/>
      <c r="C11" s="136"/>
      <c r="D11" s="136"/>
      <c r="E11" s="136"/>
      <c r="F11" s="136"/>
      <c r="H11" s="136"/>
    </row>
    <row r="12" spans="1:13" ht="14.25" customHeight="1" x14ac:dyDescent="0.25">
      <c r="A12" s="137" t="s">
        <v>92</v>
      </c>
      <c r="B12" s="101"/>
      <c r="D12" s="101"/>
      <c r="E12" s="101"/>
      <c r="F12" s="101"/>
      <c r="H12" s="101"/>
    </row>
    <row r="13" spans="1:13" ht="14.25" customHeight="1" x14ac:dyDescent="0.25">
      <c r="A13" s="101"/>
      <c r="B13" s="101" t="s">
        <v>93</v>
      </c>
      <c r="D13" s="101"/>
      <c r="E13" s="118">
        <v>219132</v>
      </c>
      <c r="F13" s="101"/>
      <c r="G13" s="138">
        <v>198532.97165999998</v>
      </c>
      <c r="H13" s="101"/>
    </row>
    <row r="14" spans="1:13" ht="14.25" customHeight="1" x14ac:dyDescent="0.25">
      <c r="A14" s="101"/>
      <c r="B14" s="101" t="s">
        <v>94</v>
      </c>
      <c r="D14" s="101"/>
      <c r="E14" s="118">
        <v>-919.64979000000005</v>
      </c>
      <c r="F14" s="101"/>
      <c r="G14" s="138">
        <v>-1100.8951299999999</v>
      </c>
      <c r="H14" s="101"/>
    </row>
    <row r="15" spans="1:13" ht="14.25" customHeight="1" x14ac:dyDescent="0.25">
      <c r="A15" s="101"/>
      <c r="B15" s="101" t="s">
        <v>95</v>
      </c>
      <c r="D15" s="101"/>
      <c r="E15" s="139">
        <v>3627.3473799999992</v>
      </c>
      <c r="F15" s="101"/>
      <c r="G15" s="140">
        <v>24612.892419999996</v>
      </c>
      <c r="H15" s="101"/>
      <c r="K15" s="72"/>
      <c r="L15" s="72"/>
      <c r="M15" s="72"/>
    </row>
    <row r="16" spans="1:13" ht="14.25" customHeight="1" x14ac:dyDescent="0.25">
      <c r="A16" s="101" t="s">
        <v>96</v>
      </c>
      <c r="B16" s="101"/>
      <c r="C16" s="101"/>
      <c r="D16" s="101"/>
      <c r="E16" s="141"/>
      <c r="F16" s="101"/>
      <c r="G16" s="138"/>
      <c r="H16" s="101"/>
    </row>
    <row r="17" spans="1:13" ht="14.25" customHeight="1" x14ac:dyDescent="0.25">
      <c r="A17" s="101" t="s">
        <v>96</v>
      </c>
      <c r="B17" s="101"/>
      <c r="C17" s="101"/>
      <c r="D17" s="101"/>
      <c r="E17" s="118">
        <v>221838.69759</v>
      </c>
      <c r="F17" s="101"/>
      <c r="G17" s="138">
        <v>222044.96894999998</v>
      </c>
      <c r="H17" s="101"/>
    </row>
    <row r="18" spans="1:13" ht="14.25" customHeight="1" x14ac:dyDescent="0.25">
      <c r="A18" s="101" t="s">
        <v>97</v>
      </c>
      <c r="B18" s="101"/>
      <c r="D18" s="101"/>
      <c r="E18" s="118"/>
      <c r="F18" s="101"/>
      <c r="G18" s="138"/>
      <c r="H18" s="101"/>
    </row>
    <row r="19" spans="1:13" ht="14.25" customHeight="1" x14ac:dyDescent="0.25">
      <c r="A19" s="101"/>
      <c r="B19" s="101" t="s">
        <v>98</v>
      </c>
      <c r="D19" s="101"/>
      <c r="E19" s="118">
        <v>-58203.370450000002</v>
      </c>
      <c r="F19" s="101"/>
      <c r="G19" s="138">
        <v>-47721.974670000003</v>
      </c>
      <c r="H19" s="101"/>
      <c r="K19" s="72"/>
      <c r="L19" s="72"/>
      <c r="M19" s="72"/>
    </row>
    <row r="20" spans="1:13" ht="14.25" customHeight="1" x14ac:dyDescent="0.25">
      <c r="A20" s="101"/>
      <c r="B20" s="101" t="s">
        <v>99</v>
      </c>
      <c r="D20" s="101"/>
      <c r="E20" s="139">
        <v>-10860.34693</v>
      </c>
      <c r="F20" s="101"/>
      <c r="G20" s="140">
        <v>-17292.324760000003</v>
      </c>
      <c r="H20" s="101"/>
      <c r="K20" s="72"/>
      <c r="L20" s="72"/>
    </row>
    <row r="21" spans="1:13" ht="14.25" customHeight="1" x14ac:dyDescent="0.25">
      <c r="A21" s="101" t="s">
        <v>96</v>
      </c>
      <c r="B21" s="101"/>
      <c r="C21" s="101"/>
      <c r="D21" s="101"/>
      <c r="E21" s="118"/>
      <c r="F21" s="101"/>
      <c r="G21" s="70"/>
      <c r="H21" s="101"/>
    </row>
    <row r="22" spans="1:13" ht="14.25" customHeight="1" x14ac:dyDescent="0.25">
      <c r="A22" s="101" t="s">
        <v>96</v>
      </c>
      <c r="B22" s="101"/>
      <c r="C22" s="101"/>
      <c r="D22" s="101"/>
      <c r="E22" s="118">
        <v>-69062.717380000002</v>
      </c>
      <c r="F22" s="101"/>
      <c r="G22" s="70">
        <v>-65014.299430000006</v>
      </c>
      <c r="H22" s="101"/>
    </row>
    <row r="23" spans="1:13" ht="14.25" customHeight="1" x14ac:dyDescent="0.25">
      <c r="A23" s="101" t="s">
        <v>96</v>
      </c>
      <c r="B23" s="101"/>
      <c r="C23" s="101"/>
      <c r="D23" s="101"/>
      <c r="E23" s="118"/>
      <c r="F23" s="101"/>
      <c r="G23" s="70"/>
      <c r="H23" s="101"/>
    </row>
    <row r="24" spans="1:13" ht="14.25" customHeight="1" x14ac:dyDescent="0.25">
      <c r="A24" s="137" t="s">
        <v>100</v>
      </c>
      <c r="B24" s="101"/>
      <c r="C24" s="101"/>
      <c r="D24" s="101"/>
      <c r="E24" s="139">
        <v>152775.98021000001</v>
      </c>
      <c r="F24" s="101"/>
      <c r="G24" s="71">
        <v>157030.66951999997</v>
      </c>
      <c r="H24" s="101"/>
    </row>
    <row r="25" spans="1:13" ht="14.25" customHeight="1" x14ac:dyDescent="0.25">
      <c r="A25" s="101" t="s">
        <v>96</v>
      </c>
      <c r="B25" s="101"/>
      <c r="C25" s="101"/>
      <c r="D25" s="101"/>
      <c r="E25" s="118"/>
      <c r="F25" s="101"/>
      <c r="G25" s="70"/>
      <c r="H25" s="101"/>
    </row>
    <row r="26" spans="1:13" ht="14.25" customHeight="1" x14ac:dyDescent="0.25">
      <c r="A26" s="101" t="s">
        <v>96</v>
      </c>
      <c r="B26" s="101"/>
      <c r="C26" s="101"/>
      <c r="D26" s="101"/>
      <c r="E26" s="118"/>
      <c r="F26" s="101"/>
      <c r="G26" s="70"/>
      <c r="H26" s="101"/>
    </row>
    <row r="27" spans="1:13" ht="14.25" customHeight="1" x14ac:dyDescent="0.25">
      <c r="A27" s="101" t="s">
        <v>101</v>
      </c>
      <c r="B27" s="101"/>
      <c r="C27" s="101"/>
      <c r="D27" s="101"/>
      <c r="E27" s="139">
        <v>152775.98021000001</v>
      </c>
      <c r="F27" s="101"/>
      <c r="G27" s="71">
        <v>157030.66951999997</v>
      </c>
      <c r="H27" s="101"/>
    </row>
    <row r="28" spans="1:13" ht="14.25" customHeight="1" x14ac:dyDescent="0.25">
      <c r="A28" s="101" t="s">
        <v>96</v>
      </c>
      <c r="B28" s="101"/>
      <c r="C28" s="101"/>
      <c r="D28" s="101"/>
      <c r="E28" s="118"/>
      <c r="F28" s="101"/>
      <c r="G28" s="70"/>
      <c r="H28" s="101"/>
    </row>
    <row r="29" spans="1:13" ht="14.25" customHeight="1" x14ac:dyDescent="0.25">
      <c r="A29" s="101" t="s">
        <v>102</v>
      </c>
      <c r="B29" s="101"/>
      <c r="C29" s="101"/>
      <c r="D29" s="101"/>
      <c r="E29" s="118"/>
      <c r="F29" s="101"/>
      <c r="G29" s="70"/>
      <c r="H29" s="101"/>
    </row>
    <row r="30" spans="1:13" ht="14.25" customHeight="1" x14ac:dyDescent="0.25">
      <c r="B30" s="101"/>
      <c r="C30" s="101" t="s">
        <v>59</v>
      </c>
      <c r="D30" s="101"/>
      <c r="E30" s="139">
        <v>10813</v>
      </c>
      <c r="F30" s="101"/>
      <c r="G30" s="140">
        <v>9659.6748200000002</v>
      </c>
      <c r="H30" s="101"/>
    </row>
    <row r="31" spans="1:13" ht="14.25" customHeight="1" x14ac:dyDescent="0.25">
      <c r="A31" s="101" t="s">
        <v>96</v>
      </c>
      <c r="B31" s="101"/>
      <c r="C31" s="101"/>
      <c r="D31" s="101"/>
      <c r="E31" s="118"/>
      <c r="F31" s="101"/>
      <c r="G31" s="70"/>
      <c r="H31" s="101"/>
    </row>
    <row r="32" spans="1:13" ht="14.25" customHeight="1" x14ac:dyDescent="0.25">
      <c r="A32" s="101" t="s">
        <v>96</v>
      </c>
      <c r="B32" s="101"/>
      <c r="C32" s="101"/>
      <c r="D32" s="101"/>
      <c r="E32" s="139">
        <v>10813</v>
      </c>
      <c r="F32" s="101"/>
      <c r="G32" s="71">
        <v>9659.6748200000002</v>
      </c>
      <c r="H32" s="101"/>
    </row>
    <row r="33" spans="1:8" ht="14.25" customHeight="1" x14ac:dyDescent="0.25">
      <c r="A33" s="101" t="s">
        <v>96</v>
      </c>
      <c r="B33" s="101"/>
      <c r="C33" s="101"/>
      <c r="D33" s="101"/>
      <c r="E33" s="118"/>
      <c r="F33" s="101"/>
      <c r="G33" s="70"/>
      <c r="H33" s="101"/>
    </row>
    <row r="34" spans="1:8" ht="14.25" customHeight="1" thickBot="1" x14ac:dyDescent="0.3">
      <c r="A34" s="101" t="s">
        <v>103</v>
      </c>
      <c r="B34" s="101"/>
      <c r="C34" s="101"/>
      <c r="D34" s="101"/>
      <c r="E34" s="142">
        <v>163588.98021000001</v>
      </c>
      <c r="F34" s="101"/>
      <c r="G34" s="143">
        <v>166691.34433999995</v>
      </c>
      <c r="H34" s="137"/>
    </row>
    <row r="35" spans="1:8" ht="14.25" customHeight="1" thickTop="1" x14ac:dyDescent="0.25">
      <c r="A35" s="101" t="s">
        <v>96</v>
      </c>
      <c r="B35" s="101"/>
      <c r="C35" s="101"/>
      <c r="D35" s="101"/>
      <c r="E35" s="118"/>
      <c r="F35" s="101"/>
      <c r="G35" s="70"/>
      <c r="H35" s="101"/>
    </row>
    <row r="36" spans="1:8" ht="14.25" customHeight="1" x14ac:dyDescent="0.25">
      <c r="A36" s="101" t="s">
        <v>104</v>
      </c>
      <c r="B36" s="101"/>
      <c r="C36" s="101"/>
      <c r="D36" s="101"/>
      <c r="E36" s="118"/>
      <c r="F36" s="101"/>
      <c r="G36" s="70"/>
      <c r="H36" s="101"/>
    </row>
    <row r="37" spans="1:8" ht="14.25" customHeight="1" x14ac:dyDescent="0.25">
      <c r="A37" s="101" t="s">
        <v>105</v>
      </c>
      <c r="B37" s="101"/>
      <c r="C37" s="101"/>
      <c r="D37" s="101"/>
      <c r="E37" s="118"/>
      <c r="F37" s="101"/>
      <c r="G37" s="70"/>
      <c r="H37" s="101"/>
    </row>
    <row r="38" spans="1:8" ht="14.25" customHeight="1" x14ac:dyDescent="0.25">
      <c r="A38" s="101" t="s">
        <v>106</v>
      </c>
      <c r="B38" s="101"/>
      <c r="C38" s="101"/>
      <c r="D38" s="101"/>
      <c r="E38" s="118">
        <v>14484.171289999998</v>
      </c>
      <c r="F38" s="101"/>
      <c r="G38" s="138">
        <v>17083.257719999998</v>
      </c>
      <c r="H38" s="101"/>
    </row>
    <row r="39" spans="1:8" ht="14.25" customHeight="1" x14ac:dyDescent="0.25">
      <c r="A39" s="101" t="s">
        <v>107</v>
      </c>
      <c r="B39" s="101"/>
      <c r="C39" s="101"/>
      <c r="D39" s="101"/>
      <c r="E39" s="118">
        <v>1345.04775</v>
      </c>
      <c r="F39" s="101"/>
      <c r="G39" s="138">
        <v>1636.3125899999998</v>
      </c>
      <c r="H39" s="101"/>
    </row>
    <row r="40" spans="1:8" ht="14.25" customHeight="1" x14ac:dyDescent="0.25">
      <c r="A40" s="101" t="s">
        <v>108</v>
      </c>
      <c r="B40" s="101"/>
      <c r="C40" s="101"/>
      <c r="D40" s="101"/>
      <c r="E40" s="118">
        <v>1617.5442399999999</v>
      </c>
      <c r="F40" s="101"/>
      <c r="G40" s="138">
        <v>564</v>
      </c>
      <c r="H40" s="101"/>
    </row>
    <row r="41" spans="1:8" ht="14.25" customHeight="1" x14ac:dyDescent="0.25">
      <c r="A41" s="101" t="s">
        <v>109</v>
      </c>
      <c r="B41" s="101"/>
      <c r="C41" s="101"/>
      <c r="D41" s="101"/>
      <c r="E41" s="118">
        <v>2288.8091200000008</v>
      </c>
      <c r="F41" s="101"/>
      <c r="G41" s="138">
        <v>2947.0874199999994</v>
      </c>
      <c r="H41" s="101"/>
    </row>
    <row r="42" spans="1:8" ht="14.25" customHeight="1" x14ac:dyDescent="0.25">
      <c r="A42" s="101" t="s">
        <v>110</v>
      </c>
      <c r="B42" s="101"/>
      <c r="C42" s="101"/>
      <c r="D42" s="101"/>
      <c r="E42" s="118">
        <v>3049.68021</v>
      </c>
      <c r="F42" s="101"/>
      <c r="G42" s="138">
        <v>3611.1502700000001</v>
      </c>
      <c r="H42" s="101"/>
    </row>
    <row r="43" spans="1:8" ht="14.25" customHeight="1" x14ac:dyDescent="0.25">
      <c r="A43" s="101" t="s">
        <v>111</v>
      </c>
      <c r="B43" s="101"/>
      <c r="C43" s="101"/>
      <c r="D43" s="101"/>
      <c r="E43" s="118">
        <v>1779.1955299999997</v>
      </c>
      <c r="F43" s="101"/>
      <c r="G43" s="138">
        <v>2235.6542999999997</v>
      </c>
      <c r="H43" s="101"/>
    </row>
    <row r="44" spans="1:8" ht="14.25" customHeight="1" x14ac:dyDescent="0.25">
      <c r="A44" s="101" t="s">
        <v>112</v>
      </c>
      <c r="B44" s="101"/>
      <c r="C44" s="101"/>
      <c r="D44" s="101"/>
      <c r="E44" s="118">
        <v>1891.04141</v>
      </c>
      <c r="F44" s="101"/>
      <c r="G44" s="138">
        <v>1575.74944</v>
      </c>
      <c r="H44" s="101"/>
    </row>
    <row r="45" spans="1:8" ht="14.25" customHeight="1" x14ac:dyDescent="0.25">
      <c r="A45" s="101" t="s">
        <v>113</v>
      </c>
      <c r="B45" s="101"/>
      <c r="C45" s="101"/>
      <c r="D45" s="101"/>
      <c r="E45" s="118">
        <v>144.24825000000001</v>
      </c>
      <c r="F45" s="101"/>
      <c r="G45" s="138">
        <v>3043.8245299999999</v>
      </c>
      <c r="H45" s="101"/>
    </row>
    <row r="46" spans="1:8" ht="14.25" customHeight="1" x14ac:dyDescent="0.25">
      <c r="A46" s="101" t="s">
        <v>114</v>
      </c>
      <c r="B46" s="101"/>
      <c r="C46" s="101"/>
      <c r="D46" s="101"/>
      <c r="E46" s="118">
        <v>-3708</v>
      </c>
      <c r="F46" s="101"/>
      <c r="G46" s="138">
        <v>-4170.6040400000002</v>
      </c>
      <c r="H46" s="101"/>
    </row>
    <row r="47" spans="1:8" ht="14.25" customHeight="1" x14ac:dyDescent="0.25">
      <c r="A47" s="101" t="s">
        <v>115</v>
      </c>
      <c r="B47" s="101"/>
      <c r="C47" s="101"/>
      <c r="D47" s="101"/>
      <c r="E47" s="118">
        <v>440.81301000000002</v>
      </c>
      <c r="F47" s="101"/>
      <c r="G47" s="138">
        <v>-558.46393999999998</v>
      </c>
      <c r="H47" s="101"/>
    </row>
    <row r="48" spans="1:8" ht="14.25" customHeight="1" x14ac:dyDescent="0.25">
      <c r="A48" s="101" t="s">
        <v>87</v>
      </c>
      <c r="B48" s="137"/>
      <c r="C48" s="137"/>
      <c r="D48" s="137"/>
      <c r="E48" s="139">
        <v>216.37108000000001</v>
      </c>
      <c r="F48" s="137"/>
      <c r="G48" s="71">
        <v>141.47898000000001</v>
      </c>
      <c r="H48" s="137"/>
    </row>
    <row r="49" spans="1:13" ht="14.25" customHeight="1" x14ac:dyDescent="0.25">
      <c r="A49" s="101" t="s">
        <v>96</v>
      </c>
      <c r="C49" s="101"/>
      <c r="D49" s="101"/>
      <c r="E49" s="118"/>
      <c r="F49" s="101"/>
      <c r="G49" s="70"/>
      <c r="H49" s="101"/>
      <c r="K49" s="144"/>
    </row>
    <row r="50" spans="1:13" ht="14.25" customHeight="1" x14ac:dyDescent="0.25">
      <c r="A50" s="11" t="s">
        <v>96</v>
      </c>
      <c r="B50" s="101"/>
      <c r="C50" s="101"/>
      <c r="D50" s="101"/>
      <c r="E50" s="118">
        <v>23548.921890000005</v>
      </c>
      <c r="F50" s="101"/>
      <c r="G50" s="70">
        <v>28110.447269999997</v>
      </c>
      <c r="H50" s="101"/>
      <c r="J50" s="21"/>
      <c r="K50" s="145"/>
      <c r="L50" s="21"/>
    </row>
    <row r="51" spans="1:13" ht="14.25" customHeight="1" x14ac:dyDescent="0.25">
      <c r="A51" s="11" t="s">
        <v>116</v>
      </c>
      <c r="B51" s="101"/>
      <c r="C51" s="101"/>
      <c r="D51" s="101"/>
      <c r="E51" s="118"/>
      <c r="F51" s="101"/>
      <c r="G51" s="70"/>
      <c r="H51" s="101"/>
      <c r="K51" s="144"/>
    </row>
    <row r="52" spans="1:13" ht="14.25" customHeight="1" x14ac:dyDescent="0.25">
      <c r="A52" s="101" t="s">
        <v>117</v>
      </c>
      <c r="B52" s="101"/>
      <c r="C52" s="101"/>
      <c r="D52" s="101"/>
      <c r="E52" s="118">
        <v>4855.0996599999999</v>
      </c>
      <c r="F52" s="101"/>
      <c r="G52" s="70">
        <v>5373.5139300000001</v>
      </c>
      <c r="H52" s="101"/>
      <c r="K52" s="146"/>
      <c r="L52" s="21"/>
    </row>
    <row r="53" spans="1:13" ht="14.25" customHeight="1" x14ac:dyDescent="0.25">
      <c r="A53" s="101" t="s">
        <v>118</v>
      </c>
      <c r="B53" s="137"/>
      <c r="C53" s="137"/>
      <c r="D53" s="137"/>
      <c r="E53" s="118">
        <v>41202.903210000004</v>
      </c>
      <c r="F53" s="137"/>
      <c r="G53" s="70">
        <v>55459.782340000005</v>
      </c>
      <c r="H53" s="137"/>
      <c r="J53" s="21"/>
      <c r="K53" s="146"/>
    </row>
    <row r="54" spans="1:13" ht="14.25" customHeight="1" x14ac:dyDescent="0.25">
      <c r="A54" s="101" t="s">
        <v>119</v>
      </c>
      <c r="B54" s="101"/>
      <c r="C54" s="101"/>
      <c r="D54" s="101"/>
      <c r="E54" s="118">
        <v>8607</v>
      </c>
      <c r="F54" s="101"/>
      <c r="G54" s="70">
        <v>3484.0783700000002</v>
      </c>
      <c r="H54" s="101"/>
    </row>
    <row r="55" spans="1:13" ht="14.25" customHeight="1" x14ac:dyDescent="0.25">
      <c r="A55" s="101" t="s">
        <v>120</v>
      </c>
      <c r="B55" s="137"/>
      <c r="C55" s="137"/>
      <c r="D55" s="137"/>
      <c r="E55" s="118">
        <v>5777.6335099999997</v>
      </c>
      <c r="F55" s="137"/>
      <c r="G55" s="70">
        <v>118.91202</v>
      </c>
      <c r="H55" s="137"/>
      <c r="J55" s="144"/>
    </row>
    <row r="56" spans="1:13" ht="14.25" customHeight="1" x14ac:dyDescent="0.25">
      <c r="A56" s="101" t="s">
        <v>87</v>
      </c>
      <c r="B56" s="101"/>
      <c r="C56" s="101"/>
      <c r="D56" s="101"/>
      <c r="E56" s="139">
        <v>73199.215889999992</v>
      </c>
      <c r="F56" s="101"/>
      <c r="G56" s="71">
        <v>72104</v>
      </c>
      <c r="H56" s="101"/>
      <c r="J56" s="144"/>
      <c r="L56" s="21"/>
    </row>
    <row r="57" spans="1:13" ht="14.25" customHeight="1" x14ac:dyDescent="0.25">
      <c r="A57" s="101" t="s">
        <v>96</v>
      </c>
      <c r="B57" s="137"/>
      <c r="C57" s="137"/>
      <c r="D57" s="137"/>
      <c r="E57" s="147"/>
      <c r="F57" s="137"/>
      <c r="G57" s="70"/>
      <c r="H57" s="137"/>
      <c r="J57" s="21"/>
    </row>
    <row r="58" spans="1:13" ht="14.25" customHeight="1" x14ac:dyDescent="0.25">
      <c r="A58" s="101" t="s">
        <v>96</v>
      </c>
      <c r="B58" s="101"/>
      <c r="C58" s="101"/>
      <c r="D58" s="101"/>
      <c r="E58" s="118">
        <v>133641.85227</v>
      </c>
      <c r="F58" s="101"/>
      <c r="G58" s="70">
        <v>136541.28666000001</v>
      </c>
      <c r="H58" s="101"/>
    </row>
    <row r="59" spans="1:13" ht="14.25" customHeight="1" x14ac:dyDescent="0.25">
      <c r="A59" s="101" t="s">
        <v>121</v>
      </c>
      <c r="B59" s="101"/>
      <c r="C59" s="101"/>
      <c r="D59" s="101"/>
      <c r="E59" s="118"/>
      <c r="F59" s="101"/>
      <c r="G59" s="70"/>
      <c r="H59" s="101"/>
      <c r="L59" s="21"/>
    </row>
    <row r="60" spans="1:13" ht="14.25" customHeight="1" x14ac:dyDescent="0.25">
      <c r="A60" s="101" t="s">
        <v>122</v>
      </c>
      <c r="B60" s="137"/>
      <c r="C60" s="137"/>
      <c r="D60" s="137"/>
      <c r="E60" s="139">
        <v>6398</v>
      </c>
      <c r="F60" s="137"/>
      <c r="G60" s="71">
        <v>2041.3186699999997</v>
      </c>
      <c r="H60" s="137"/>
      <c r="M60" s="21"/>
    </row>
    <row r="61" spans="1:13" ht="14.25" customHeight="1" x14ac:dyDescent="0.25">
      <c r="A61" s="101" t="s">
        <v>96</v>
      </c>
      <c r="B61" s="101"/>
      <c r="C61" s="101"/>
      <c r="D61" s="101"/>
      <c r="E61" s="118"/>
      <c r="F61" s="101"/>
      <c r="G61" s="70"/>
      <c r="H61" s="101"/>
    </row>
    <row r="62" spans="1:13" ht="14.25" customHeight="1" thickBot="1" x14ac:dyDescent="0.3">
      <c r="A62" s="137" t="s">
        <v>79</v>
      </c>
      <c r="B62" s="137"/>
      <c r="C62" s="137"/>
      <c r="D62" s="137"/>
      <c r="E62" s="142">
        <v>163588.77416</v>
      </c>
      <c r="F62" s="137"/>
      <c r="G62" s="143">
        <v>166691.05260000002</v>
      </c>
      <c r="H62" s="137"/>
      <c r="J62" s="144"/>
    </row>
    <row r="63" spans="1:13" ht="14.25" customHeight="1" thickTop="1" x14ac:dyDescent="0.25">
      <c r="A63" s="101"/>
      <c r="B63" s="101"/>
      <c r="C63" s="101"/>
      <c r="D63" s="101"/>
      <c r="E63" s="118"/>
      <c r="F63" s="101"/>
      <c r="G63" s="70"/>
      <c r="H63" s="101"/>
    </row>
    <row r="64" spans="1:13" ht="14.25" customHeight="1" x14ac:dyDescent="0.25">
      <c r="E64" s="21"/>
      <c r="G64" s="70"/>
    </row>
    <row r="65" spans="1:8" ht="14.25" customHeight="1" x14ac:dyDescent="0.25">
      <c r="A65" s="101" t="s">
        <v>47</v>
      </c>
      <c r="B65" s="101"/>
      <c r="C65" s="101"/>
      <c r="D65" s="101"/>
      <c r="E65" s="118"/>
      <c r="F65" s="101"/>
      <c r="G65" s="70"/>
      <c r="H65" s="101"/>
    </row>
    <row r="66" spans="1:8" ht="14.25" customHeight="1" x14ac:dyDescent="0.25">
      <c r="A66" s="101"/>
      <c r="B66" s="101"/>
      <c r="C66" s="101"/>
      <c r="D66" s="101"/>
      <c r="E66" s="118"/>
      <c r="F66" s="101"/>
      <c r="G66" s="70"/>
      <c r="H66" s="101"/>
    </row>
    <row r="67" spans="1:8" ht="14.25" customHeight="1" x14ac:dyDescent="0.25">
      <c r="A67" s="101"/>
      <c r="B67" s="101"/>
      <c r="C67" s="101"/>
      <c r="D67" s="101"/>
      <c r="E67" s="118"/>
      <c r="F67" s="101"/>
      <c r="G67" s="70"/>
      <c r="H67" s="101"/>
    </row>
    <row r="68" spans="1:8" ht="14.25" customHeight="1" x14ac:dyDescent="0.25">
      <c r="A68" s="101"/>
      <c r="B68" s="101"/>
      <c r="C68" s="101"/>
      <c r="D68" s="101"/>
      <c r="E68" s="118"/>
      <c r="F68" s="101"/>
      <c r="G68" s="70"/>
      <c r="H68" s="101"/>
    </row>
    <row r="69" spans="1:8" x14ac:dyDescent="0.25">
      <c r="G69" s="70"/>
    </row>
  </sheetData>
  <pageMargins left="1.1417322834645669" right="1.1417322834645669" top="0.6692913385826772" bottom="0.51181102362204722" header="0.51181102362204722" footer="0.51181102362204722"/>
  <pageSetup paperSize="9" scale="48" firstPageNumber="11" orientation="portrait" useFirstPageNumber="1" r:id="rId1"/>
  <headerFooter alignWithMargins="0">
    <oddFooter>&amp;C&amp;"Times New Roman,Normal"&amp;P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BP 2017</vt:lpstr>
      <vt:lpstr>DRE 2017</vt:lpstr>
      <vt:lpstr>DRA 2017</vt:lpstr>
      <vt:lpstr>DMPL 2017</vt:lpstr>
      <vt:lpstr>DFC 2017</vt:lpstr>
      <vt:lpstr>DVA 2017</vt:lpstr>
      <vt:lpstr>'BP 2017'!Area_de_impressao</vt:lpstr>
      <vt:lpstr>'DFC 2017'!Area_de_impressao</vt:lpstr>
      <vt:lpstr>'DMPL 2017'!Area_de_impressao</vt:lpstr>
      <vt:lpstr>'DRE 2017'!Area_de_impressao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Geisa Cristine Moreira</dc:creator>
  <cp:lastModifiedBy>Geisa Cristine Moreira</cp:lastModifiedBy>
  <dcterms:created xsi:type="dcterms:W3CDTF">2018-04-24T18:58:17Z</dcterms:created>
  <dcterms:modified xsi:type="dcterms:W3CDTF">2018-07-10T14:12:12Z</dcterms:modified>
</cp:coreProperties>
</file>